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МП БГС 17-25\37. МП БГС 17-25 в ред. февраля\Постановление от 09.02.2024 №127\"/>
    </mc:Choice>
  </mc:AlternateContent>
  <xr:revisionPtr revIDLastSave="0" documentId="13_ncr:1_{E7ED3947-1C10-484F-BE7B-CB9AE9357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Лист3!$A$5:$P$114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2" i="3" l="1"/>
  <c r="L89" i="3"/>
  <c r="L85" i="3"/>
  <c r="L82" i="3"/>
  <c r="L73" i="3"/>
  <c r="L69" i="3"/>
  <c r="G39" i="3" l="1"/>
  <c r="H39" i="3"/>
  <c r="I39" i="3"/>
  <c r="K39" i="3"/>
  <c r="N39" i="3"/>
  <c r="F39" i="3"/>
  <c r="N40" i="3"/>
  <c r="F40" i="3"/>
  <c r="K32" i="3"/>
  <c r="E32" i="3"/>
  <c r="L31" i="3"/>
  <c r="L30" i="3" s="1"/>
  <c r="K31" i="3"/>
  <c r="K30" i="3" s="1"/>
  <c r="N30" i="3"/>
  <c r="M30" i="3"/>
  <c r="J30" i="3"/>
  <c r="I30" i="3"/>
  <c r="H30" i="3"/>
  <c r="G30" i="3"/>
  <c r="F30" i="3"/>
  <c r="F27" i="3"/>
  <c r="G27" i="3"/>
  <c r="H27" i="3"/>
  <c r="I27" i="3"/>
  <c r="J27" i="3"/>
  <c r="M27" i="3"/>
  <c r="N27" i="3"/>
  <c r="K28" i="3"/>
  <c r="L28" i="3"/>
  <c r="L27" i="3" s="1"/>
  <c r="K29" i="3"/>
  <c r="E29" i="3" s="1"/>
  <c r="L74" i="3"/>
  <c r="L44" i="3"/>
  <c r="L78" i="3"/>
  <c r="L45" i="3"/>
  <c r="L70" i="3"/>
  <c r="L105" i="3"/>
  <c r="L98" i="3"/>
  <c r="L84" i="3"/>
  <c r="L43" i="3"/>
  <c r="L102" i="3"/>
  <c r="M98" i="3"/>
  <c r="N89" i="3"/>
  <c r="M91" i="3"/>
  <c r="M58" i="3"/>
  <c r="M46" i="3"/>
  <c r="M39" i="3" s="1"/>
  <c r="M45" i="3"/>
  <c r="M44" i="3"/>
  <c r="M40" i="3" s="1"/>
  <c r="L40" i="3" l="1"/>
  <c r="E31" i="3"/>
  <c r="E30" i="3" s="1"/>
  <c r="E28" i="3"/>
  <c r="E27" i="3" s="1"/>
  <c r="K27" i="3"/>
  <c r="M102" i="3" l="1"/>
  <c r="M101" i="3"/>
  <c r="E105" i="3" l="1"/>
  <c r="Q71" i="3"/>
  <c r="L77" i="3" l="1"/>
  <c r="E51" i="3" l="1"/>
  <c r="E52" i="3"/>
  <c r="E53" i="3"/>
  <c r="E54" i="3"/>
  <c r="E55" i="3"/>
  <c r="E56" i="3"/>
  <c r="E57" i="3"/>
  <c r="E59" i="3"/>
  <c r="E67" i="3"/>
  <c r="E68" i="3"/>
  <c r="E73" i="3"/>
  <c r="E79" i="3"/>
  <c r="E83" i="3"/>
  <c r="E86" i="3"/>
  <c r="E90" i="3"/>
  <c r="E92" i="3"/>
  <c r="N69" i="3" l="1"/>
  <c r="M104" i="3" l="1"/>
  <c r="M103" i="3" s="1"/>
  <c r="M100" i="3"/>
  <c r="M99" i="3" s="1"/>
  <c r="M94" i="3"/>
  <c r="M93" i="3" s="1"/>
  <c r="M88" i="3"/>
  <c r="M87" i="3" s="1"/>
  <c r="M81" i="3"/>
  <c r="M80" i="3" s="1"/>
  <c r="M76" i="3"/>
  <c r="M75" i="3" s="1"/>
  <c r="M64" i="3"/>
  <c r="M63" i="3"/>
  <c r="M108" i="3" s="1"/>
  <c r="M113" i="3" s="1"/>
  <c r="M62" i="3"/>
  <c r="M49" i="3"/>
  <c r="M48" i="3"/>
  <c r="M23" i="3"/>
  <c r="M19" i="3" s="1"/>
  <c r="M22" i="3"/>
  <c r="M36" i="3" s="1"/>
  <c r="M21" i="3"/>
  <c r="M35" i="3" s="1"/>
  <c r="M20" i="3"/>
  <c r="M34" i="3" s="1"/>
  <c r="M47" i="3" l="1"/>
  <c r="M109" i="3"/>
  <c r="M114" i="3" s="1"/>
  <c r="M33" i="3"/>
  <c r="M112" i="3"/>
  <c r="M61" i="3"/>
  <c r="M107" i="3"/>
  <c r="M106" i="3" s="1"/>
  <c r="M38" i="3"/>
  <c r="K44" i="3"/>
  <c r="K58" i="3"/>
  <c r="K89" i="3"/>
  <c r="K70" i="3"/>
  <c r="K69" i="3"/>
  <c r="K43" i="3"/>
  <c r="K74" i="3"/>
  <c r="K45" i="3"/>
  <c r="G104" i="3"/>
  <c r="G103" i="3" s="1"/>
  <c r="H104" i="3"/>
  <c r="H103" i="3" s="1"/>
  <c r="I104" i="3"/>
  <c r="I103" i="3" s="1"/>
  <c r="J104" i="3"/>
  <c r="J103" i="3" s="1"/>
  <c r="K104" i="3"/>
  <c r="K103" i="3" s="1"/>
  <c r="L104" i="3"/>
  <c r="L103" i="3" s="1"/>
  <c r="N104" i="3"/>
  <c r="N103" i="3" s="1"/>
  <c r="F104" i="3"/>
  <c r="F103" i="3" s="1"/>
  <c r="K40" i="3" l="1"/>
  <c r="M111" i="3"/>
  <c r="M110" i="3" s="1"/>
  <c r="E103" i="3"/>
  <c r="E104" i="3"/>
  <c r="L91" i="3"/>
  <c r="L46" i="3"/>
  <c r="L39" i="3" s="1"/>
  <c r="L101" i="3"/>
  <c r="K101" i="3"/>
  <c r="K82" i="3"/>
  <c r="K78" i="3"/>
  <c r="K25" i="3"/>
  <c r="K24" i="3"/>
  <c r="K26" i="3"/>
  <c r="K84" i="3"/>
  <c r="K71" i="3"/>
  <c r="K23" i="3" l="1"/>
  <c r="K19" i="3" s="1"/>
  <c r="H63" i="3"/>
  <c r="H108" i="3" s="1"/>
  <c r="H113" i="3" s="1"/>
  <c r="I63" i="3"/>
  <c r="I108" i="3" s="1"/>
  <c r="I113" i="3" s="1"/>
  <c r="J63" i="3"/>
  <c r="J108" i="3" s="1"/>
  <c r="J113" i="3" s="1"/>
  <c r="K63" i="3"/>
  <c r="K108" i="3" s="1"/>
  <c r="K113" i="3" s="1"/>
  <c r="L63" i="3"/>
  <c r="L108" i="3" s="1"/>
  <c r="L113" i="3" s="1"/>
  <c r="N63" i="3"/>
  <c r="N108" i="3" s="1"/>
  <c r="N113" i="3" s="1"/>
  <c r="F63" i="3"/>
  <c r="F108" i="3" s="1"/>
  <c r="F113" i="3" s="1"/>
  <c r="G62" i="3"/>
  <c r="K62" i="3"/>
  <c r="L62" i="3"/>
  <c r="N62" i="3"/>
  <c r="F62" i="3"/>
  <c r="F64" i="3"/>
  <c r="E26" i="3"/>
  <c r="E22" i="3" s="1"/>
  <c r="E25" i="3"/>
  <c r="E21" i="3" s="1"/>
  <c r="E24" i="3"/>
  <c r="E20" i="3" s="1"/>
  <c r="N23" i="3"/>
  <c r="N19" i="3" s="1"/>
  <c r="L23" i="3"/>
  <c r="L19" i="3" s="1"/>
  <c r="J23" i="3"/>
  <c r="J19" i="3" s="1"/>
  <c r="I23" i="3"/>
  <c r="I19" i="3" s="1"/>
  <c r="H23" i="3"/>
  <c r="H19" i="3" s="1"/>
  <c r="G23" i="3"/>
  <c r="G19" i="3" s="1"/>
  <c r="F23" i="3"/>
  <c r="F19" i="3" s="1"/>
  <c r="N22" i="3"/>
  <c r="N36" i="3" s="1"/>
  <c r="L22" i="3"/>
  <c r="L36" i="3" s="1"/>
  <c r="K22" i="3"/>
  <c r="K36" i="3" s="1"/>
  <c r="J22" i="3"/>
  <c r="J36" i="3" s="1"/>
  <c r="I22" i="3"/>
  <c r="I36" i="3" s="1"/>
  <c r="H22" i="3"/>
  <c r="H36" i="3" s="1"/>
  <c r="G22" i="3"/>
  <c r="G36" i="3" s="1"/>
  <c r="F22" i="3"/>
  <c r="F36" i="3" s="1"/>
  <c r="N21" i="3"/>
  <c r="N35" i="3" s="1"/>
  <c r="L21" i="3"/>
  <c r="L35" i="3" s="1"/>
  <c r="K21" i="3"/>
  <c r="K35" i="3" s="1"/>
  <c r="J21" i="3"/>
  <c r="J35" i="3" s="1"/>
  <c r="I21" i="3"/>
  <c r="I35" i="3" s="1"/>
  <c r="H21" i="3"/>
  <c r="H35" i="3" s="1"/>
  <c r="G21" i="3"/>
  <c r="G35" i="3" s="1"/>
  <c r="F21" i="3"/>
  <c r="F35" i="3" s="1"/>
  <c r="N20" i="3"/>
  <c r="N34" i="3" s="1"/>
  <c r="N112" i="3" s="1"/>
  <c r="L20" i="3"/>
  <c r="L34" i="3" s="1"/>
  <c r="L112" i="3" s="1"/>
  <c r="K20" i="3"/>
  <c r="K34" i="3" s="1"/>
  <c r="K112" i="3" s="1"/>
  <c r="J20" i="3"/>
  <c r="J34" i="3" s="1"/>
  <c r="J112" i="3" s="1"/>
  <c r="I20" i="3"/>
  <c r="I34" i="3" s="1"/>
  <c r="I112" i="3" s="1"/>
  <c r="H20" i="3"/>
  <c r="H34" i="3" s="1"/>
  <c r="H112" i="3" s="1"/>
  <c r="G20" i="3"/>
  <c r="G34" i="3" s="1"/>
  <c r="G112" i="3" s="1"/>
  <c r="F20" i="3"/>
  <c r="F34" i="3" s="1"/>
  <c r="F112" i="3" s="1"/>
  <c r="J98" i="3"/>
  <c r="J70" i="3"/>
  <c r="J65" i="3"/>
  <c r="J58" i="3"/>
  <c r="J44" i="3"/>
  <c r="J45" i="3"/>
  <c r="G76" i="3"/>
  <c r="G75" i="3" s="1"/>
  <c r="L76" i="3"/>
  <c r="L75" i="3" s="1"/>
  <c r="N76" i="3"/>
  <c r="N75" i="3" s="1"/>
  <c r="F76" i="3"/>
  <c r="F75" i="3" s="1"/>
  <c r="L49" i="3"/>
  <c r="N49" i="3"/>
  <c r="F49" i="3"/>
  <c r="G48" i="3"/>
  <c r="H48" i="3"/>
  <c r="I48" i="3"/>
  <c r="J48" i="3"/>
  <c r="K48" i="3"/>
  <c r="L48" i="3"/>
  <c r="N48" i="3"/>
  <c r="F48" i="3"/>
  <c r="G50" i="3"/>
  <c r="E50" i="3" s="1"/>
  <c r="F61" i="3" l="1"/>
  <c r="E23" i="3"/>
  <c r="E19" i="3" s="1"/>
  <c r="H33" i="3"/>
  <c r="I33" i="3"/>
  <c r="J33" i="3"/>
  <c r="K33" i="3"/>
  <c r="E35" i="3"/>
  <c r="L33" i="3"/>
  <c r="E36" i="3"/>
  <c r="E34" i="3"/>
  <c r="F33" i="3"/>
  <c r="G33" i="3"/>
  <c r="N33" i="3"/>
  <c r="G109" i="3"/>
  <c r="G114" i="3" s="1"/>
  <c r="K109" i="3"/>
  <c r="L109" i="3"/>
  <c r="L114" i="3" s="1"/>
  <c r="N109" i="3"/>
  <c r="N114" i="3" s="1"/>
  <c r="F109" i="3"/>
  <c r="F114" i="3" s="1"/>
  <c r="H100" i="3"/>
  <c r="K100" i="3"/>
  <c r="L100" i="3"/>
  <c r="N100" i="3"/>
  <c r="F100" i="3"/>
  <c r="H94" i="3"/>
  <c r="N88" i="3"/>
  <c r="N87" i="3" s="1"/>
  <c r="L88" i="3"/>
  <c r="L87" i="3" s="1"/>
  <c r="K88" i="3"/>
  <c r="K87" i="3" s="1"/>
  <c r="J88" i="3"/>
  <c r="J87" i="3" s="1"/>
  <c r="F88" i="3"/>
  <c r="F87" i="3" s="1"/>
  <c r="H81" i="3"/>
  <c r="H80" i="3" s="1"/>
  <c r="L81" i="3"/>
  <c r="L80" i="3" s="1"/>
  <c r="N81" i="3"/>
  <c r="N80" i="3" s="1"/>
  <c r="F81" i="3"/>
  <c r="K76" i="3"/>
  <c r="J78" i="3"/>
  <c r="E78" i="3" s="1"/>
  <c r="I66" i="3"/>
  <c r="E66" i="3" s="1"/>
  <c r="G65" i="3"/>
  <c r="E65" i="3" s="1"/>
  <c r="I60" i="3"/>
  <c r="G60" i="3"/>
  <c r="N64" i="3"/>
  <c r="N61" i="3" s="1"/>
  <c r="L64" i="3"/>
  <c r="L61" i="3" s="1"/>
  <c r="N94" i="3"/>
  <c r="N93" i="3" s="1"/>
  <c r="L94" i="3"/>
  <c r="L93" i="3" s="1"/>
  <c r="K49" i="3"/>
  <c r="K64" i="3"/>
  <c r="K61" i="3" s="1"/>
  <c r="G49" i="3" l="1"/>
  <c r="E60" i="3"/>
  <c r="N107" i="3"/>
  <c r="N111" i="3" s="1"/>
  <c r="L107" i="3"/>
  <c r="L111" i="3" s="1"/>
  <c r="K114" i="3"/>
  <c r="E33" i="3"/>
  <c r="K75" i="3"/>
  <c r="H93" i="3"/>
  <c r="F80" i="3"/>
  <c r="N47" i="3"/>
  <c r="G47" i="3"/>
  <c r="F47" i="3"/>
  <c r="E48" i="3"/>
  <c r="L47" i="3"/>
  <c r="K47" i="3"/>
  <c r="N38" i="3"/>
  <c r="F38" i="3"/>
  <c r="L38" i="3"/>
  <c r="K38" i="3"/>
  <c r="J49" i="3"/>
  <c r="J85" i="3"/>
  <c r="E85" i="3" s="1"/>
  <c r="J84" i="3"/>
  <c r="E84" i="3" s="1"/>
  <c r="J64" i="3"/>
  <c r="J82" i="3"/>
  <c r="J77" i="3"/>
  <c r="J76" i="3" s="1"/>
  <c r="J71" i="3"/>
  <c r="J62" i="3" s="1"/>
  <c r="J101" i="3"/>
  <c r="J100" i="3" s="1"/>
  <c r="J61" i="3" l="1"/>
  <c r="N106" i="3"/>
  <c r="L106" i="3"/>
  <c r="J75" i="3"/>
  <c r="E112" i="3"/>
  <c r="J81" i="3"/>
  <c r="J47" i="3"/>
  <c r="J41" i="3"/>
  <c r="J40" i="3" s="1"/>
  <c r="I71" i="3"/>
  <c r="I62" i="3" l="1"/>
  <c r="N110" i="3"/>
  <c r="L110" i="3"/>
  <c r="J80" i="3"/>
  <c r="J42" i="3"/>
  <c r="J46" i="3"/>
  <c r="E46" i="3" s="1"/>
  <c r="E42" i="3" l="1"/>
  <c r="J39" i="3"/>
  <c r="J109" i="3" s="1"/>
  <c r="J114" i="3" s="1"/>
  <c r="I109" i="3"/>
  <c r="I114" i="3" s="1"/>
  <c r="I77" i="3"/>
  <c r="I76" i="3" s="1"/>
  <c r="I89" i="3"/>
  <c r="I102" i="3"/>
  <c r="I58" i="3"/>
  <c r="I49" i="3" s="1"/>
  <c r="I75" i="3" l="1"/>
  <c r="I47" i="3"/>
  <c r="E39" i="3"/>
  <c r="J38" i="3"/>
  <c r="I91" i="3"/>
  <c r="I88" i="3" s="1"/>
  <c r="I87" i="3" l="1"/>
  <c r="I44" i="3"/>
  <c r="I70" i="3" l="1"/>
  <c r="I98" i="3" l="1"/>
  <c r="I69" i="3"/>
  <c r="I94" i="3" l="1"/>
  <c r="I93" i="3" s="1"/>
  <c r="I74" i="3"/>
  <c r="I64" i="3" s="1"/>
  <c r="I61" i="3" s="1"/>
  <c r="I45" i="3" l="1"/>
  <c r="I40" i="3" s="1"/>
  <c r="I38" i="3" l="1"/>
  <c r="I101" i="3"/>
  <c r="I100" i="3" l="1"/>
  <c r="E101" i="3"/>
  <c r="K98" i="3"/>
  <c r="J94" i="3"/>
  <c r="K94" i="3" l="1"/>
  <c r="K93" i="3" s="1"/>
  <c r="E98" i="3"/>
  <c r="J107" i="3"/>
  <c r="J111" i="3" s="1"/>
  <c r="J93" i="3"/>
  <c r="H58" i="3"/>
  <c r="H49" i="3" l="1"/>
  <c r="H47" i="3" s="1"/>
  <c r="E47" i="3" s="1"/>
  <c r="E58" i="3"/>
  <c r="J106" i="3"/>
  <c r="J110" i="3"/>
  <c r="I82" i="3"/>
  <c r="I81" i="3" s="1"/>
  <c r="E49" i="3" l="1"/>
  <c r="I107" i="3"/>
  <c r="I111" i="3" s="1"/>
  <c r="I80" i="3"/>
  <c r="H71" i="3"/>
  <c r="E71" i="3" s="1"/>
  <c r="I106" i="3" l="1"/>
  <c r="H62" i="3"/>
  <c r="I110" i="3"/>
  <c r="H45" i="3"/>
  <c r="H44" i="3"/>
  <c r="H70" i="3"/>
  <c r="E70" i="3" s="1"/>
  <c r="E62" i="3" l="1"/>
  <c r="H109" i="3"/>
  <c r="H69" i="3"/>
  <c r="H64" i="3" s="1"/>
  <c r="H61" i="3" s="1"/>
  <c r="H114" i="3" l="1"/>
  <c r="E114" i="3" s="1"/>
  <c r="E109" i="3"/>
  <c r="H43" i="3"/>
  <c r="H40" i="3" s="1"/>
  <c r="H77" i="3"/>
  <c r="E77" i="3" s="1"/>
  <c r="E43" i="3" l="1"/>
  <c r="H76" i="3"/>
  <c r="H38" i="3"/>
  <c r="H75" i="3" l="1"/>
  <c r="E76" i="3"/>
  <c r="E75" i="3" s="1"/>
  <c r="L99" i="3" l="1"/>
  <c r="N99" i="3"/>
  <c r="G72" i="3" l="1"/>
  <c r="G63" i="3" l="1"/>
  <c r="E63" i="3" s="1"/>
  <c r="E72" i="3"/>
  <c r="G108" i="3"/>
  <c r="G113" i="3" l="1"/>
  <c r="E113" i="3" s="1"/>
  <c r="E108" i="3"/>
  <c r="H89" i="3" l="1"/>
  <c r="H88" i="3" s="1"/>
  <c r="H107" i="3" s="1"/>
  <c r="H111" i="3" s="1"/>
  <c r="H106" i="3" l="1"/>
  <c r="H110" i="3"/>
  <c r="H87" i="3"/>
  <c r="G69" i="3"/>
  <c r="E69" i="3" s="1"/>
  <c r="G82" i="3" l="1"/>
  <c r="G45" i="3"/>
  <c r="E45" i="3" s="1"/>
  <c r="G81" i="3" l="1"/>
  <c r="E82" i="3"/>
  <c r="G80" i="3"/>
  <c r="G44" i="3"/>
  <c r="E44" i="3" s="1"/>
  <c r="G89" i="3" l="1"/>
  <c r="E89" i="3" s="1"/>
  <c r="K81" i="3" l="1"/>
  <c r="K107" i="3" s="1"/>
  <c r="K111" i="3" s="1"/>
  <c r="K110" i="3" s="1"/>
  <c r="K106" i="3" l="1"/>
  <c r="K80" i="3"/>
  <c r="E80" i="3" s="1"/>
  <c r="E81" i="3"/>
  <c r="G97" i="3"/>
  <c r="G102" i="3" l="1"/>
  <c r="G100" i="3" l="1"/>
  <c r="E102" i="3"/>
  <c r="G91" i="3"/>
  <c r="E91" i="3" s="1"/>
  <c r="G88" i="3" l="1"/>
  <c r="G87" i="3" l="1"/>
  <c r="E87" i="3" s="1"/>
  <c r="E88" i="3"/>
  <c r="G95" i="3"/>
  <c r="G94" i="3" l="1"/>
  <c r="E95" i="3"/>
  <c r="G93" i="3"/>
  <c r="J99" i="3" l="1"/>
  <c r="G41" i="3"/>
  <c r="E41" i="3" l="1"/>
  <c r="G40" i="3"/>
  <c r="K99" i="3"/>
  <c r="F97" i="3"/>
  <c r="E97" i="3" s="1"/>
  <c r="F96" i="3"/>
  <c r="E96" i="3" s="1"/>
  <c r="G74" i="3"/>
  <c r="G64" i="3" l="1"/>
  <c r="G61" i="3" s="1"/>
  <c r="E74" i="3"/>
  <c r="E64" i="3"/>
  <c r="E61" i="3" s="1"/>
  <c r="F94" i="3"/>
  <c r="F107" i="3" s="1"/>
  <c r="F111" i="3" s="1"/>
  <c r="F99" i="3"/>
  <c r="G99" i="3"/>
  <c r="I99" i="3"/>
  <c r="G38" i="3"/>
  <c r="E38" i="3" s="1"/>
  <c r="E40" i="3"/>
  <c r="G107" i="3" l="1"/>
  <c r="G111" i="3" s="1"/>
  <c r="G110" i="3" s="1"/>
  <c r="F106" i="3"/>
  <c r="E107" i="3"/>
  <c r="F93" i="3"/>
  <c r="E93" i="3" s="1"/>
  <c r="E94" i="3"/>
  <c r="E100" i="3"/>
  <c r="H99" i="3"/>
  <c r="E99" i="3" s="1"/>
  <c r="G106" i="3" l="1"/>
  <c r="E106" i="3" s="1"/>
  <c r="E111" i="3"/>
  <c r="E110" i="3" s="1"/>
  <c r="F110" i="3" l="1"/>
</calcChain>
</file>

<file path=xl/sharedStrings.xml><?xml version="1.0" encoding="utf-8"?>
<sst xmlns="http://schemas.openxmlformats.org/spreadsheetml/2006/main" count="343" uniqueCount="179">
  <si>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</si>
  <si>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</si>
  <si>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</si>
  <si>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</si>
  <si>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</si>
  <si>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</si>
  <si>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</si>
  <si>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</si>
  <si>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</si>
  <si>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</si>
  <si>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</si>
  <si>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</si>
  <si>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</si>
  <si>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</si>
  <si>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</si>
  <si>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</si>
  <si>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</si>
  <si>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</si>
  <si>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</si>
  <si>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</si>
  <si>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</si>
  <si>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</si>
  <si>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</si>
  <si>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</si>
  <si>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</si>
  <si>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</si>
  <si>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</si>
  <si>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</si>
  <si>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</si>
  <si>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</si>
  <si>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</si>
  <si>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</si>
  <si>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</si>
  <si>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</si>
  <si>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</si>
  <si>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</si>
  <si>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</si>
  <si>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</si>
  <si>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</si>
  <si>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</si>
  <si>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</si>
  <si>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</si>
  <si>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</si>
  <si>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</si>
  <si>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</si>
  <si>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</si>
  <si>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</si>
  <si>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</si>
  <si>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</si>
  <si>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</si>
  <si>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</si>
  <si>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</si>
  <si>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</si>
  <si>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</si>
  <si>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</si>
  <si>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</si>
  <si>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</si>
  <si>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</si>
  <si>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</si>
  <si>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</si>
  <si>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</si>
  <si>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</si>
  <si>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</si>
  <si>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</si>
  <si>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</si>
  <si>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</si>
  <si>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</si>
  <si>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</si>
  <si>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</si>
  <si>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</si>
  <si>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</si>
  <si>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</si>
  <si>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</si>
  <si>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</si>
  <si>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</si>
  <si>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</si>
  <si>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</si>
  <si>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</si>
  <si>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</si>
  <si>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</si>
  <si>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</si>
  <si>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</si>
  <si>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</si>
  <si>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Обустройство и содержание общественных территорий и пешеходных зон города Сертолово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</si>
  <si>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</si>
  <si>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</si>
  <si>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Наименование структурного элемента программы</t>
  </si>
  <si>
    <t>Ответственный за реализацию структурного элемента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</si>
  <si>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</si>
  <si>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</si>
  <si>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</si>
  <si>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</si>
  <si>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</si>
  <si>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</si>
  <si>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</si>
  <si>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</si>
  <si>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</si>
  <si>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2017-2024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</si>
  <si>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</si>
  <si>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</si>
  <si>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2017-2020, 2022-2023</t>
  </si>
  <si>
    <t>Создание мест (площадок) накопления твердых коммунальных отходов</t>
  </si>
  <si>
    <t>Комплекс процессных мероприятий "Устройство, обустройство и содержание общественных территорий и пешеходных зон города Сертолово"</t>
  </si>
  <si>
    <t>2018-2021</t>
  </si>
  <si>
    <t>3.4.</t>
  </si>
  <si>
    <t>Всего,
в том числе</t>
  </si>
  <si>
    <t>2017-2019, 2023</t>
  </si>
  <si>
    <t>2018-2024</t>
  </si>
  <si>
    <t>6.</t>
  </si>
  <si>
    <t>Комплекс процессных мероприятий "Организация санитарного содержания территории города Сертолово"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</si>
  <si>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</si>
  <si>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</si>
  <si>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</si>
  <si>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</si>
  <si>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</si>
  <si>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</si>
  <si>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</si>
  <si>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</si>
  <si>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</si>
  <si>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2017-2020  </t>
  </si>
  <si>
    <t xml:space="preserve">2017-2018  </t>
  </si>
  <si>
    <t xml:space="preserve">2019-2024  </t>
  </si>
  <si>
    <t xml:space="preserve">2017-2024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</si>
  <si>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</si>
  <si>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</si>
  <si>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</si>
  <si>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</si>
  <si>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</si>
  <si>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</si>
  <si>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"Комплекс процессных мероприятий "Санитарное содержание улично-дорожной сети города Сертолово"</t>
  </si>
  <si>
    <t>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</si>
  <si>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</si>
  <si>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</si>
  <si>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</si>
  <si>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</si>
  <si>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</si>
  <si>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</si>
  <si>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</si>
  <si>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</si>
  <si>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</si>
  <si>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</si>
  <si>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</si>
  <si>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4.</t>
  </si>
  <si>
    <t>4.5.</t>
  </si>
  <si>
    <t>4.6.</t>
  </si>
  <si>
    <t>4.7.</t>
  </si>
  <si>
    <t>4.8.</t>
  </si>
  <si>
    <t>Ожидаемый результат реализации структурного элемента Программы</t>
  </si>
  <si>
    <t>2017-2018</t>
  </si>
  <si>
    <t>2017-2020,
2022-2024</t>
  </si>
  <si>
    <t>2018-2019</t>
  </si>
  <si>
    <t>2019-2020</t>
  </si>
  <si>
    <t>2019, 2021</t>
  </si>
  <si>
    <t xml:space="preserve">2017-2024 </t>
  </si>
  <si>
    <t xml:space="preserve"> МУНИЦИПАЛЬНОЙ ПРОГРАММЫ</t>
  </si>
  <si>
    <t>2018-2022</t>
  </si>
  <si>
    <t xml:space="preserve"> МУ "Оказание услуг "Развитие"
Комитет ЖКХ</t>
  </si>
  <si>
    <t>10.</t>
  </si>
  <si>
    <t>10.1.</t>
  </si>
  <si>
    <t>Комплекс процессных мероприятий "Обеспечение деятельности подведомственного учреждения"</t>
  </si>
  <si>
    <t>2023-2024</t>
  </si>
  <si>
    <t>Обеспечения условий для надлежащего функционирования учреждения, осуществления деятельности в соответствии с Уставом учреждения</t>
  </si>
  <si>
    <t>Обеспечение деятельности Сертоловского муниципального учреждения "Оказание услуг "Развитие"</t>
  </si>
  <si>
    <t>"Благоустроенный город Сертолово" на 2017-2025 годы</t>
  </si>
  <si>
    <t>2019 - 2025</t>
  </si>
  <si>
    <t>Отраслевой проект «Эффективное обращение с отходами производства и потребления на территории Ленинградской области»</t>
  </si>
  <si>
    <t>2021-2025</t>
  </si>
  <si>
    <t>5.4.</t>
  </si>
  <si>
    <t>5.5.</t>
  </si>
  <si>
    <t>5.6.</t>
  </si>
  <si>
    <t>5.7.</t>
  </si>
  <si>
    <t>5.8.</t>
  </si>
  <si>
    <t>7.5.</t>
  </si>
  <si>
    <t>9.3.</t>
  </si>
  <si>
    <t>9.4.</t>
  </si>
  <si>
    <t>10.2.</t>
  </si>
  <si>
    <t>11.</t>
  </si>
  <si>
    <t>11.1.</t>
  </si>
  <si>
    <t>ПРИЛОЖЕНИЕ №1
к постановлению администрации
МО Сертолово
от 09.02.2024 №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</si>
</sst>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0" fillId="0" borderId="0" xfId="0" applyFont="1"/>
    <xf numFmtId="0" fontId="3" fillId="0" borderId="0" xfId="0" applyFont="1"/>
    <xf numFmtId="0" fontId="4" fillId="0" borderId="0" xfId="0" applyFont="1"/>
    <xf numFmtId="0" fontId="10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9" fillId="0" borderId="0" xfId="0" applyFont="1"/>
    <xf numFmtId="0" fontId="13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/>
    <xf numFmtId="0" fontId="11" fillId="0" borderId="3" xfId="0" applyFont="1" applyBorder="1" applyAlignment="1">
      <alignment vertical="top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vertical="top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14" fillId="4" borderId="2" xfId="0" applyFont="1" applyFill="1" applyBorder="1" applyAlignment="1">
      <alignment horizontal="left" vertical="center" wrapText="1"/>
    </xf>
    <xf numFmtId="164" fontId="14" fillId="4" borderId="9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left" vertical="center"/>
    </xf>
    <xf numFmtId="0" fontId="11" fillId="4" borderId="5" xfId="0" applyFont="1" applyFill="1" applyBorder="1"/>
    <xf numFmtId="164" fontId="14" fillId="4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/>
    <xf numFmtId="164" fontId="14" fillId="4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" fontId="11" fillId="0" borderId="11" xfId="0" quotePrefix="1" applyNumberFormat="1" applyFont="1" applyBorder="1" applyAlignment="1">
      <alignment horizontal="center" vertical="center" wrapText="1"/>
    </xf>
    <xf numFmtId="1" fontId="11" fillId="0" borderId="11" xfId="0" quotePrefix="1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6" xfId="0" applyFont="1" applyFill="1" applyBorder="1"/>
    <xf numFmtId="0" fontId="14" fillId="4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16" fontId="11" fillId="0" borderId="2" xfId="0" quotePrefix="1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/>
    <xf numFmtId="164" fontId="14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6" fontId="11" fillId="0" borderId="1" xfId="0" quotePrefix="1" applyNumberFormat="1" applyFont="1" applyBorder="1" applyAlignment="1">
      <alignment horizontal="center" vertical="center" wrapText="1"/>
    </xf>
    <xf numFmtId="16" fontId="11" fillId="0" borderId="6" xfId="0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16" fontId="11" fillId="0" borderId="6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5" borderId="1" xfId="0" quotePrefix="1" applyFont="1" applyFill="1" applyBorder="1" applyAlignment="1">
      <alignment horizontal="center" vertical="center" wrapText="1"/>
    </xf>
    <xf numFmtId="0" fontId="11" fillId="5" borderId="6" xfId="0" quotePrefix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" fontId="11" fillId="5" borderId="1" xfId="0" quotePrefix="1" applyNumberFormat="1" applyFont="1" applyFill="1" applyBorder="1" applyAlignment="1">
      <alignment horizontal="center" vertical="center" wrapText="1"/>
    </xf>
    <xf numFmtId="1" fontId="11" fillId="5" borderId="9" xfId="0" quotePrefix="1" applyNumberFormat="1" applyFont="1" applyFill="1" applyBorder="1" applyAlignment="1">
      <alignment horizontal="center" vertical="center" wrapText="1"/>
    </xf>
    <xf numFmtId="1" fontId="11" fillId="5" borderId="6" xfId="0" quotePrefix="1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left" vertical="center" wrapText="1"/>
    </xf>
    <xf numFmtId="1" fontId="11" fillId="5" borderId="6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center" vertical="center" wrapText="1"/>
    </xf>
    <xf numFmtId="16" fontId="11" fillId="5" borderId="6" xfId="0" quotePrefix="1" applyNumberFormat="1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left" vertical="center" wrapText="1"/>
    </xf>
    <xf numFmtId="16" fontId="11" fillId="5" borderId="6" xfId="0" quotePrefix="1" applyNumberFormat="1" applyFont="1" applyFill="1" applyBorder="1" applyAlignment="1">
      <alignment horizontal="left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16" fontId="11" fillId="5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74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4"/>
  <sheetViews>
    <sheetView tabSelected="1" view="pageBreakPreview" topLeftCell="B5" zoomScaleNormal="100" zoomScaleSheetLayoutView="100" workbookViewId="0">
      <pane ySplit="13" topLeftCell="A18" activePane="bottomLeft" state="frozen"/>
      <selection activeCell="A5" sqref="A5"/>
      <selection pane="bottomLeft" activeCell="M9" sqref="M9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3" width="9" style="11" customWidth="1"/>
    <col min="14" max="14" width="8.85546875" style="11" customWidth="1"/>
    <col min="15" max="15" width="13.42578125" style="3" customWidth="1"/>
    <col min="16" max="16" width="19.42578125" style="3" customWidth="1"/>
    <col min="17" max="17" width="9.140625" style="3"/>
    <col min="18" max="18" width="9.42578125" style="3" bestFit="1" customWidth="1"/>
    <col min="19" max="16384" width="9.140625" style="3"/>
  </cols>
  <sheetData>
    <row r="1" spans="1:17" ht="15.75" hidden="1" x14ac:dyDescent="0.25">
      <c r="A1" s="1"/>
      <c r="B1" s="1"/>
      <c r="C1" s="1"/>
      <c r="D1" s="1"/>
      <c r="E1" s="1"/>
      <c r="F1" s="1"/>
      <c r="G1" s="128" t="s">
        <v>44</v>
      </c>
      <c r="H1" s="128"/>
      <c r="I1" s="128"/>
      <c r="J1" s="128"/>
      <c r="K1" s="128"/>
      <c r="L1" s="128"/>
      <c r="M1" s="128"/>
      <c r="N1" s="128"/>
      <c r="O1" s="128"/>
      <c r="P1" s="128"/>
      <c r="Q1" s="2"/>
    </row>
    <row r="2" spans="1:17" ht="14.25" hidden="1" customHeight="1" x14ac:dyDescent="0.25">
      <c r="A2" s="1"/>
      <c r="B2" s="1"/>
      <c r="C2" s="1"/>
      <c r="D2" s="1"/>
      <c r="E2" s="1"/>
      <c r="F2" s="1"/>
      <c r="G2" s="128" t="s">
        <v>42</v>
      </c>
      <c r="H2" s="128"/>
      <c r="I2" s="128"/>
      <c r="J2" s="128"/>
      <c r="K2" s="128"/>
      <c r="L2" s="128"/>
      <c r="M2" s="128"/>
      <c r="N2" s="128"/>
      <c r="O2" s="128"/>
      <c r="P2" s="128"/>
      <c r="Q2" s="2"/>
    </row>
    <row r="3" spans="1:17" ht="14.25" hidden="1" customHeight="1" x14ac:dyDescent="0.25">
      <c r="A3" s="1"/>
      <c r="B3" s="1"/>
      <c r="C3" s="1"/>
      <c r="D3" s="1"/>
      <c r="E3" s="1"/>
      <c r="F3" s="1"/>
      <c r="G3" s="128" t="s">
        <v>43</v>
      </c>
      <c r="H3" s="128"/>
      <c r="I3" s="128"/>
      <c r="J3" s="128"/>
      <c r="K3" s="128"/>
      <c r="L3" s="128"/>
      <c r="M3" s="128"/>
      <c r="N3" s="128"/>
      <c r="O3" s="128"/>
      <c r="P3" s="128"/>
      <c r="Q3" s="2"/>
    </row>
    <row r="4" spans="1:17" ht="15" hidden="1" customHeight="1" x14ac:dyDescent="0.25">
      <c r="A4" s="1"/>
      <c r="B4" s="1"/>
      <c r="C4" s="1"/>
      <c r="D4" s="1"/>
      <c r="E4" s="1"/>
      <c r="F4" s="4"/>
      <c r="G4" s="128" t="s">
        <v>72</v>
      </c>
      <c r="H4" s="129"/>
      <c r="I4" s="129"/>
      <c r="J4" s="129"/>
      <c r="K4" s="129"/>
      <c r="L4" s="129"/>
      <c r="M4" s="129"/>
      <c r="N4" s="129"/>
      <c r="O4" s="129"/>
      <c r="P4" s="129"/>
      <c r="Q4" s="5"/>
    </row>
    <row r="5" spans="1:17" ht="18.75" customHeight="1" x14ac:dyDescent="0.25">
      <c r="A5" s="1"/>
      <c r="B5" s="1"/>
      <c r="C5" s="1"/>
      <c r="D5" s="1"/>
      <c r="E5" s="1"/>
      <c r="F5" s="4"/>
      <c r="G5" s="95"/>
      <c r="H5" s="96"/>
      <c r="I5" s="96"/>
      <c r="J5" s="96"/>
      <c r="K5" s="96"/>
      <c r="L5" s="96"/>
      <c r="M5" s="134" t="s">
        <v>178</v>
      </c>
      <c r="N5" s="135"/>
      <c r="O5" s="135"/>
      <c r="P5" s="135"/>
      <c r="Q5" s="5"/>
    </row>
    <row r="6" spans="1:17" ht="15" customHeight="1" x14ac:dyDescent="0.25">
      <c r="A6" s="1"/>
      <c r="B6" s="1"/>
      <c r="C6" s="1"/>
      <c r="D6" s="1"/>
      <c r="E6" s="1"/>
      <c r="F6" s="4"/>
      <c r="G6" s="95"/>
      <c r="H6" s="96"/>
      <c r="I6" s="96"/>
      <c r="J6" s="96"/>
      <c r="K6" s="96"/>
      <c r="L6" s="96"/>
      <c r="M6" s="135"/>
      <c r="N6" s="135"/>
      <c r="O6" s="135"/>
      <c r="P6" s="135"/>
      <c r="Q6" s="5"/>
    </row>
    <row r="7" spans="1:17" ht="15" customHeight="1" x14ac:dyDescent="0.25">
      <c r="A7" s="1"/>
      <c r="B7" s="1"/>
      <c r="C7" s="1"/>
      <c r="D7" s="1"/>
      <c r="E7" s="1"/>
      <c r="F7" s="4"/>
      <c r="G7" s="95"/>
      <c r="H7" s="96"/>
      <c r="I7" s="96"/>
      <c r="J7" s="96"/>
      <c r="K7" s="96"/>
      <c r="L7" s="96"/>
      <c r="M7" s="135"/>
      <c r="N7" s="135"/>
      <c r="O7" s="135"/>
      <c r="P7" s="135"/>
      <c r="Q7" s="5"/>
    </row>
    <row r="8" spans="1:17" ht="15" customHeight="1" x14ac:dyDescent="0.25">
      <c r="A8" s="1"/>
      <c r="B8" s="1"/>
      <c r="C8" s="1"/>
      <c r="D8" s="1"/>
      <c r="E8" s="1"/>
      <c r="F8" s="4"/>
      <c r="G8" s="95"/>
      <c r="H8" s="96"/>
      <c r="I8" s="96"/>
      <c r="J8" s="96"/>
      <c r="K8" s="96"/>
      <c r="L8" s="96"/>
      <c r="M8" s="135"/>
      <c r="N8" s="135"/>
      <c r="O8" s="135"/>
      <c r="P8" s="135"/>
      <c r="Q8" s="5"/>
    </row>
    <row r="9" spans="1:17" ht="15" customHeight="1" x14ac:dyDescent="0.25">
      <c r="A9" s="1"/>
      <c r="B9" s="1"/>
      <c r="C9" s="1"/>
      <c r="D9" s="1"/>
      <c r="E9" s="1"/>
      <c r="F9" s="4"/>
      <c r="G9" s="95"/>
      <c r="H9" s="96"/>
      <c r="I9" s="96"/>
      <c r="J9" s="96"/>
      <c r="K9" s="96"/>
      <c r="L9" s="96"/>
      <c r="M9" s="96"/>
      <c r="N9" s="96"/>
      <c r="O9" s="96"/>
      <c r="P9" s="96"/>
      <c r="Q9" s="5"/>
    </row>
    <row r="10" spans="1:17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9"/>
      <c r="Q10" s="5"/>
    </row>
    <row r="11" spans="1:17" s="6" customFormat="1" ht="15.75" customHeight="1" x14ac:dyDescent="0.3">
      <c r="A11" s="130" t="s">
        <v>90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17" s="6" customFormat="1" ht="16.5" customHeight="1" x14ac:dyDescent="0.3">
      <c r="A12" s="130" t="s">
        <v>154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7" ht="15" customHeight="1" x14ac:dyDescent="0.3">
      <c r="A13" s="130" t="s">
        <v>163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1:17" ht="15.75" customHeight="1" x14ac:dyDescent="0.3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7" ht="27.75" customHeight="1" x14ac:dyDescent="0.2">
      <c r="A15" s="126" t="s">
        <v>0</v>
      </c>
      <c r="B15" s="132" t="s">
        <v>86</v>
      </c>
      <c r="C15" s="126" t="s">
        <v>15</v>
      </c>
      <c r="D15" s="131" t="s">
        <v>14</v>
      </c>
      <c r="E15" s="126" t="s">
        <v>17</v>
      </c>
      <c r="F15" s="131" t="s">
        <v>1</v>
      </c>
      <c r="G15" s="133"/>
      <c r="H15" s="133"/>
      <c r="I15" s="133"/>
      <c r="J15" s="133"/>
      <c r="K15" s="133"/>
      <c r="L15" s="133"/>
      <c r="M15" s="133"/>
      <c r="N15" s="132"/>
      <c r="O15" s="131" t="s">
        <v>87</v>
      </c>
      <c r="P15" s="107" t="s">
        <v>147</v>
      </c>
      <c r="Q15" s="13"/>
    </row>
    <row r="16" spans="1:17" ht="27.75" customHeight="1" x14ac:dyDescent="0.2">
      <c r="A16" s="126"/>
      <c r="B16" s="132"/>
      <c r="C16" s="126"/>
      <c r="D16" s="131"/>
      <c r="E16" s="126"/>
      <c r="F16" s="56">
        <v>2017</v>
      </c>
      <c r="G16" s="35">
        <v>2018</v>
      </c>
      <c r="H16" s="35">
        <v>2019</v>
      </c>
      <c r="I16" s="57">
        <v>2020</v>
      </c>
      <c r="J16" s="57">
        <v>2021</v>
      </c>
      <c r="K16" s="57">
        <v>2022</v>
      </c>
      <c r="L16" s="57">
        <v>2023</v>
      </c>
      <c r="M16" s="57">
        <v>2024</v>
      </c>
      <c r="N16" s="57">
        <v>2025</v>
      </c>
      <c r="O16" s="131"/>
      <c r="P16" s="108"/>
      <c r="Q16" s="13"/>
    </row>
    <row r="17" spans="1:17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3"/>
    </row>
    <row r="18" spans="1:17" x14ac:dyDescent="0.2">
      <c r="A18" s="97" t="s">
        <v>88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Q18" s="13"/>
    </row>
    <row r="19" spans="1:17" ht="24" x14ac:dyDescent="0.2">
      <c r="A19" s="109" t="s">
        <v>139</v>
      </c>
      <c r="B19" s="117" t="s">
        <v>89</v>
      </c>
      <c r="C19" s="69" t="s">
        <v>94</v>
      </c>
      <c r="D19" s="109" t="s">
        <v>155</v>
      </c>
      <c r="E19" s="70">
        <f t="shared" ref="E19:N19" si="0">E23</f>
        <v>122786.3</v>
      </c>
      <c r="F19" s="70">
        <f t="shared" si="0"/>
        <v>0</v>
      </c>
      <c r="G19" s="70">
        <f t="shared" si="0"/>
        <v>16000</v>
      </c>
      <c r="H19" s="70">
        <f t="shared" si="0"/>
        <v>31600</v>
      </c>
      <c r="I19" s="70">
        <f t="shared" si="0"/>
        <v>42800</v>
      </c>
      <c r="J19" s="70">
        <f t="shared" si="0"/>
        <v>14286</v>
      </c>
      <c r="K19" s="70">
        <f t="shared" si="0"/>
        <v>18100.3</v>
      </c>
      <c r="L19" s="70">
        <f t="shared" si="0"/>
        <v>0</v>
      </c>
      <c r="M19" s="70">
        <f t="shared" ref="M19" si="1">M23</f>
        <v>0</v>
      </c>
      <c r="N19" s="70">
        <f t="shared" si="0"/>
        <v>0</v>
      </c>
      <c r="O19" s="109"/>
      <c r="P19" s="117"/>
      <c r="Q19" s="13"/>
    </row>
    <row r="20" spans="1:17" ht="24" x14ac:dyDescent="0.2">
      <c r="A20" s="110"/>
      <c r="B20" s="127"/>
      <c r="C20" s="69" t="s">
        <v>92</v>
      </c>
      <c r="D20" s="110"/>
      <c r="E20" s="70">
        <f t="shared" ref="E20:N20" si="2">E24</f>
        <v>36127.599999999999</v>
      </c>
      <c r="F20" s="71">
        <f t="shared" si="2"/>
        <v>0</v>
      </c>
      <c r="G20" s="71">
        <f t="shared" si="2"/>
        <v>3495</v>
      </c>
      <c r="H20" s="71">
        <f t="shared" si="2"/>
        <v>10560</v>
      </c>
      <c r="I20" s="71">
        <f t="shared" si="2"/>
        <v>12852.5</v>
      </c>
      <c r="J20" s="71">
        <f t="shared" si="2"/>
        <v>4071.6</v>
      </c>
      <c r="K20" s="71">
        <f t="shared" si="2"/>
        <v>5148.5</v>
      </c>
      <c r="L20" s="71">
        <f t="shared" si="2"/>
        <v>0</v>
      </c>
      <c r="M20" s="71">
        <f t="shared" ref="M20" si="3">M24</f>
        <v>0</v>
      </c>
      <c r="N20" s="71">
        <f t="shared" si="2"/>
        <v>0</v>
      </c>
      <c r="O20" s="110"/>
      <c r="P20" s="127"/>
      <c r="Q20" s="13"/>
    </row>
    <row r="21" spans="1:17" ht="24" x14ac:dyDescent="0.2">
      <c r="A21" s="110"/>
      <c r="B21" s="127"/>
      <c r="C21" s="69" t="s">
        <v>93</v>
      </c>
      <c r="D21" s="110"/>
      <c r="E21" s="70">
        <f t="shared" ref="E21:N21" si="4">E25</f>
        <v>77216</v>
      </c>
      <c r="F21" s="71">
        <f t="shared" si="4"/>
        <v>0</v>
      </c>
      <c r="G21" s="71">
        <f t="shared" si="4"/>
        <v>11505</v>
      </c>
      <c r="H21" s="71">
        <f t="shared" si="4"/>
        <v>19440</v>
      </c>
      <c r="I21" s="71">
        <f t="shared" si="4"/>
        <v>26094.5</v>
      </c>
      <c r="J21" s="71">
        <f t="shared" si="4"/>
        <v>8928.4</v>
      </c>
      <c r="K21" s="71">
        <f t="shared" si="4"/>
        <v>11248.1</v>
      </c>
      <c r="L21" s="71">
        <f t="shared" si="4"/>
        <v>0</v>
      </c>
      <c r="M21" s="71">
        <f t="shared" ref="M21" si="5">M25</f>
        <v>0</v>
      </c>
      <c r="N21" s="71">
        <f t="shared" si="4"/>
        <v>0</v>
      </c>
      <c r="O21" s="110"/>
      <c r="P21" s="127"/>
      <c r="Q21" s="13"/>
    </row>
    <row r="22" spans="1:17" ht="24" x14ac:dyDescent="0.2">
      <c r="A22" s="111"/>
      <c r="B22" s="118"/>
      <c r="C22" s="69" t="s">
        <v>19</v>
      </c>
      <c r="D22" s="111"/>
      <c r="E22" s="70">
        <f t="shared" ref="E22:N22" si="6">E26</f>
        <v>9442.7000000000007</v>
      </c>
      <c r="F22" s="71">
        <f t="shared" si="6"/>
        <v>0</v>
      </c>
      <c r="G22" s="71">
        <f t="shared" si="6"/>
        <v>1000</v>
      </c>
      <c r="H22" s="71">
        <f t="shared" si="6"/>
        <v>1600</v>
      </c>
      <c r="I22" s="71">
        <f t="shared" si="6"/>
        <v>3853</v>
      </c>
      <c r="J22" s="71">
        <f t="shared" si="6"/>
        <v>1286</v>
      </c>
      <c r="K22" s="71">
        <f t="shared" si="6"/>
        <v>1703.7</v>
      </c>
      <c r="L22" s="71">
        <f t="shared" si="6"/>
        <v>0</v>
      </c>
      <c r="M22" s="71">
        <f t="shared" ref="M22" si="7">M26</f>
        <v>0</v>
      </c>
      <c r="N22" s="71">
        <f t="shared" si="6"/>
        <v>0</v>
      </c>
      <c r="O22" s="111"/>
      <c r="P22" s="118"/>
      <c r="Q22" s="13"/>
    </row>
    <row r="23" spans="1:17" ht="24" x14ac:dyDescent="0.2">
      <c r="A23" s="122" t="s">
        <v>2</v>
      </c>
      <c r="B23" s="103" t="s">
        <v>91</v>
      </c>
      <c r="C23" s="14" t="s">
        <v>94</v>
      </c>
      <c r="D23" s="107" t="s">
        <v>155</v>
      </c>
      <c r="E23" s="16">
        <f>SUM(E24:E26)</f>
        <v>122786.3</v>
      </c>
      <c r="F23" s="27">
        <f>SUM(F24:F26)</f>
        <v>0</v>
      </c>
      <c r="G23" s="27">
        <f t="shared" ref="G23:N23" si="8">SUM(G24:G26)</f>
        <v>16000</v>
      </c>
      <c r="H23" s="27">
        <f t="shared" si="8"/>
        <v>31600</v>
      </c>
      <c r="I23" s="27">
        <f t="shared" si="8"/>
        <v>42800</v>
      </c>
      <c r="J23" s="27">
        <f t="shared" si="8"/>
        <v>14286</v>
      </c>
      <c r="K23" s="27">
        <f>SUM(K24:K26)</f>
        <v>18100.3</v>
      </c>
      <c r="L23" s="27">
        <f t="shared" si="8"/>
        <v>0</v>
      </c>
      <c r="M23" s="27">
        <f t="shared" ref="M23" si="9">SUM(M24:M26)</f>
        <v>0</v>
      </c>
      <c r="N23" s="27">
        <f t="shared" si="8"/>
        <v>0</v>
      </c>
      <c r="O23" s="103" t="s">
        <v>77</v>
      </c>
      <c r="P23" s="103" t="s">
        <v>95</v>
      </c>
      <c r="Q23" s="13"/>
    </row>
    <row r="24" spans="1:17" ht="24" x14ac:dyDescent="0.2">
      <c r="A24" s="123"/>
      <c r="B24" s="119"/>
      <c r="C24" s="14" t="s">
        <v>92</v>
      </c>
      <c r="D24" s="125"/>
      <c r="E24" s="16">
        <f t="shared" ref="E24:E26" si="10">SUM(F24:N24)</f>
        <v>36127.599999999999</v>
      </c>
      <c r="F24" s="27">
        <v>0</v>
      </c>
      <c r="G24" s="27">
        <v>3495</v>
      </c>
      <c r="H24" s="27">
        <v>10560</v>
      </c>
      <c r="I24" s="27">
        <v>12852.5</v>
      </c>
      <c r="J24" s="27">
        <v>4071.6</v>
      </c>
      <c r="K24" s="27">
        <f>5566-417.5</f>
        <v>5148.5</v>
      </c>
      <c r="L24" s="27">
        <v>0</v>
      </c>
      <c r="M24" s="27">
        <v>0</v>
      </c>
      <c r="N24" s="27">
        <v>0</v>
      </c>
      <c r="O24" s="119"/>
      <c r="P24" s="119"/>
      <c r="Q24" s="13"/>
    </row>
    <row r="25" spans="1:17" ht="24" x14ac:dyDescent="0.2">
      <c r="A25" s="123"/>
      <c r="B25" s="119"/>
      <c r="C25" s="14" t="s">
        <v>93</v>
      </c>
      <c r="D25" s="125"/>
      <c r="E25" s="16">
        <f t="shared" si="10"/>
        <v>77216</v>
      </c>
      <c r="F25" s="27">
        <v>0</v>
      </c>
      <c r="G25" s="27">
        <v>11505</v>
      </c>
      <c r="H25" s="27">
        <v>19440</v>
      </c>
      <c r="I25" s="27">
        <v>26094.5</v>
      </c>
      <c r="J25" s="27">
        <v>8928.4</v>
      </c>
      <c r="K25" s="27">
        <f>12160-911.9</f>
        <v>11248.1</v>
      </c>
      <c r="L25" s="27">
        <v>0</v>
      </c>
      <c r="M25" s="27">
        <v>0</v>
      </c>
      <c r="N25" s="27">
        <v>0</v>
      </c>
      <c r="O25" s="119"/>
      <c r="P25" s="119"/>
      <c r="Q25" s="13"/>
    </row>
    <row r="26" spans="1:17" ht="24" x14ac:dyDescent="0.2">
      <c r="A26" s="124"/>
      <c r="B26" s="104"/>
      <c r="C26" s="14" t="s">
        <v>19</v>
      </c>
      <c r="D26" s="108"/>
      <c r="E26" s="16">
        <f t="shared" si="10"/>
        <v>9442.7000000000007</v>
      </c>
      <c r="F26" s="27">
        <v>0</v>
      </c>
      <c r="G26" s="27">
        <v>1000</v>
      </c>
      <c r="H26" s="27">
        <v>1600</v>
      </c>
      <c r="I26" s="27">
        <v>3853</v>
      </c>
      <c r="J26" s="27">
        <v>1286</v>
      </c>
      <c r="K26" s="27">
        <f>1841.9-138.2</f>
        <v>1703.7</v>
      </c>
      <c r="L26" s="27">
        <v>0</v>
      </c>
      <c r="M26" s="27">
        <v>0</v>
      </c>
      <c r="N26" s="27">
        <v>0</v>
      </c>
      <c r="O26" s="104"/>
      <c r="P26" s="104"/>
      <c r="Q26" s="13"/>
    </row>
    <row r="27" spans="1:17" ht="24" x14ac:dyDescent="0.2">
      <c r="A27" s="113" t="s">
        <v>140</v>
      </c>
      <c r="B27" s="112" t="s">
        <v>165</v>
      </c>
      <c r="C27" s="69" t="s">
        <v>94</v>
      </c>
      <c r="D27" s="114" t="s">
        <v>166</v>
      </c>
      <c r="E27" s="70">
        <f>SUM(E28:E29)</f>
        <v>9817.6</v>
      </c>
      <c r="F27" s="70">
        <f t="shared" ref="F27:N27" si="11">SUM(F28:F29)</f>
        <v>0</v>
      </c>
      <c r="G27" s="70">
        <f t="shared" si="11"/>
        <v>0</v>
      </c>
      <c r="H27" s="70">
        <f t="shared" si="11"/>
        <v>0</v>
      </c>
      <c r="I27" s="70">
        <f t="shared" si="11"/>
        <v>0</v>
      </c>
      <c r="J27" s="70">
        <f t="shared" si="11"/>
        <v>1603.5</v>
      </c>
      <c r="K27" s="70">
        <f t="shared" si="11"/>
        <v>0</v>
      </c>
      <c r="L27" s="70">
        <f t="shared" si="11"/>
        <v>2217.6</v>
      </c>
      <c r="M27" s="70">
        <f t="shared" si="11"/>
        <v>4497.2999999999993</v>
      </c>
      <c r="N27" s="70">
        <f t="shared" si="11"/>
        <v>1499.2</v>
      </c>
      <c r="O27" s="114"/>
      <c r="P27" s="109"/>
      <c r="Q27" s="13"/>
    </row>
    <row r="28" spans="1:17" ht="24" x14ac:dyDescent="0.2">
      <c r="A28" s="113"/>
      <c r="B28" s="112"/>
      <c r="C28" s="69" t="s">
        <v>93</v>
      </c>
      <c r="D28" s="114"/>
      <c r="E28" s="70">
        <f t="shared" ref="E28" si="12">SUM(F28:N28)</f>
        <v>9028.5</v>
      </c>
      <c r="F28" s="76">
        <v>0</v>
      </c>
      <c r="G28" s="76">
        <v>0</v>
      </c>
      <c r="H28" s="76">
        <v>0</v>
      </c>
      <c r="I28" s="76">
        <v>0</v>
      </c>
      <c r="J28" s="76">
        <v>1459.2</v>
      </c>
      <c r="K28" s="76">
        <f>992.7-992.7</f>
        <v>0</v>
      </c>
      <c r="L28" s="76">
        <f>2068.7-31</f>
        <v>2037.6999999999998</v>
      </c>
      <c r="M28" s="76">
        <v>4137.3999999999996</v>
      </c>
      <c r="N28" s="76">
        <v>1394.2</v>
      </c>
      <c r="O28" s="114"/>
      <c r="P28" s="110"/>
      <c r="Q28" s="13"/>
    </row>
    <row r="29" spans="1:17" ht="24" x14ac:dyDescent="0.2">
      <c r="A29" s="113"/>
      <c r="B29" s="112"/>
      <c r="C29" s="69" t="s">
        <v>19</v>
      </c>
      <c r="D29" s="114"/>
      <c r="E29" s="70">
        <f>SUM(F29:N29)</f>
        <v>789.1</v>
      </c>
      <c r="F29" s="76">
        <v>0</v>
      </c>
      <c r="G29" s="76">
        <v>0</v>
      </c>
      <c r="H29" s="76">
        <v>0</v>
      </c>
      <c r="I29" s="76">
        <v>0</v>
      </c>
      <c r="J29" s="76">
        <v>144.30000000000001</v>
      </c>
      <c r="K29" s="76">
        <f>98.2-98.2</f>
        <v>0</v>
      </c>
      <c r="L29" s="76">
        <v>179.9</v>
      </c>
      <c r="M29" s="76">
        <v>359.9</v>
      </c>
      <c r="N29" s="76">
        <v>105</v>
      </c>
      <c r="O29" s="114"/>
      <c r="P29" s="111"/>
      <c r="Q29" s="13"/>
    </row>
    <row r="30" spans="1:17" ht="24" x14ac:dyDescent="0.2">
      <c r="A30" s="122" t="s">
        <v>3</v>
      </c>
      <c r="B30" s="103" t="s">
        <v>101</v>
      </c>
      <c r="C30" s="14" t="s">
        <v>94</v>
      </c>
      <c r="D30" s="126" t="s">
        <v>166</v>
      </c>
      <c r="E30" s="16">
        <f>SUM(E31:E32)</f>
        <v>9817.6</v>
      </c>
      <c r="F30" s="16">
        <f t="shared" ref="F30" si="13">SUM(F31:F32)</f>
        <v>0</v>
      </c>
      <c r="G30" s="16">
        <f t="shared" ref="G30" si="14">SUM(G31:G32)</f>
        <v>0</v>
      </c>
      <c r="H30" s="16">
        <f t="shared" ref="H30" si="15">SUM(H31:H32)</f>
        <v>0</v>
      </c>
      <c r="I30" s="16">
        <f t="shared" ref="I30" si="16">SUM(I31:I32)</f>
        <v>0</v>
      </c>
      <c r="J30" s="16">
        <f t="shared" ref="J30" si="17">SUM(J31:J32)</f>
        <v>1603.5</v>
      </c>
      <c r="K30" s="16">
        <f t="shared" ref="K30" si="18">SUM(K31:K32)</f>
        <v>0</v>
      </c>
      <c r="L30" s="16">
        <f t="shared" ref="L30" si="19">SUM(L31:L32)</f>
        <v>2217.6</v>
      </c>
      <c r="M30" s="16">
        <f t="shared" ref="M30" si="20">SUM(M31:M32)</f>
        <v>4497.2999999999993</v>
      </c>
      <c r="N30" s="16">
        <f t="shared" ref="N30" si="21">SUM(N31:N32)</f>
        <v>1499.2</v>
      </c>
      <c r="O30" s="107" t="s">
        <v>77</v>
      </c>
      <c r="P30" s="103" t="s">
        <v>54</v>
      </c>
      <c r="Q30" s="13"/>
    </row>
    <row r="31" spans="1:17" ht="24" x14ac:dyDescent="0.2">
      <c r="A31" s="123"/>
      <c r="B31" s="119"/>
      <c r="C31" s="14" t="s">
        <v>93</v>
      </c>
      <c r="D31" s="126"/>
      <c r="E31" s="16">
        <f t="shared" ref="E31" si="22">SUM(F31:N31)</f>
        <v>9028.5</v>
      </c>
      <c r="F31" s="18">
        <v>0</v>
      </c>
      <c r="G31" s="18">
        <v>0</v>
      </c>
      <c r="H31" s="18">
        <v>0</v>
      </c>
      <c r="I31" s="18">
        <v>0</v>
      </c>
      <c r="J31" s="18">
        <v>1459.2</v>
      </c>
      <c r="K31" s="18">
        <f>992.7-992.7</f>
        <v>0</v>
      </c>
      <c r="L31" s="18">
        <f>2068.7-31</f>
        <v>2037.6999999999998</v>
      </c>
      <c r="M31" s="18">
        <v>4137.3999999999996</v>
      </c>
      <c r="N31" s="18">
        <v>1394.2</v>
      </c>
      <c r="O31" s="125"/>
      <c r="P31" s="119"/>
      <c r="Q31" s="13"/>
    </row>
    <row r="32" spans="1:17" ht="24" x14ac:dyDescent="0.2">
      <c r="A32" s="124"/>
      <c r="B32" s="104"/>
      <c r="C32" s="14" t="s">
        <v>19</v>
      </c>
      <c r="D32" s="126"/>
      <c r="E32" s="16">
        <f>SUM(F32:N32)</f>
        <v>789.1</v>
      </c>
      <c r="F32" s="18">
        <v>0</v>
      </c>
      <c r="G32" s="18">
        <v>0</v>
      </c>
      <c r="H32" s="18">
        <v>0</v>
      </c>
      <c r="I32" s="18">
        <v>0</v>
      </c>
      <c r="J32" s="18">
        <v>144.30000000000001</v>
      </c>
      <c r="K32" s="18">
        <f>98.2-98.2</f>
        <v>0</v>
      </c>
      <c r="L32" s="18">
        <v>179.9</v>
      </c>
      <c r="M32" s="18">
        <v>359.9</v>
      </c>
      <c r="N32" s="18">
        <v>105</v>
      </c>
      <c r="O32" s="108"/>
      <c r="P32" s="104"/>
      <c r="Q32" s="13"/>
    </row>
    <row r="33" spans="1:21" ht="24" x14ac:dyDescent="0.2">
      <c r="A33" s="61"/>
      <c r="B33" s="78" t="s">
        <v>137</v>
      </c>
      <c r="C33" s="77"/>
      <c r="D33" s="77"/>
      <c r="E33" s="44">
        <f>SUM(E34:E36)</f>
        <v>132603.9</v>
      </c>
      <c r="F33" s="44">
        <f t="shared" ref="F33:N33" si="23">SUM(F34:F36)</f>
        <v>0</v>
      </c>
      <c r="G33" s="44">
        <f t="shared" si="23"/>
        <v>16000</v>
      </c>
      <c r="H33" s="44">
        <f t="shared" si="23"/>
        <v>31600</v>
      </c>
      <c r="I33" s="44">
        <f t="shared" si="23"/>
        <v>42800</v>
      </c>
      <c r="J33" s="44">
        <f t="shared" si="23"/>
        <v>15889.5</v>
      </c>
      <c r="K33" s="44">
        <f t="shared" si="23"/>
        <v>18100.3</v>
      </c>
      <c r="L33" s="44">
        <f t="shared" si="23"/>
        <v>2217.6</v>
      </c>
      <c r="M33" s="44">
        <f t="shared" si="23"/>
        <v>4497.2999999999993</v>
      </c>
      <c r="N33" s="44">
        <f t="shared" si="23"/>
        <v>1499.2</v>
      </c>
      <c r="O33" s="100"/>
      <c r="P33" s="100"/>
      <c r="Q33" s="13"/>
    </row>
    <row r="34" spans="1:21" x14ac:dyDescent="0.2">
      <c r="A34" s="61"/>
      <c r="B34" s="78" t="s">
        <v>92</v>
      </c>
      <c r="C34" s="77"/>
      <c r="D34" s="77"/>
      <c r="E34" s="44">
        <f>SUM(F34:N34)</f>
        <v>36127.599999999999</v>
      </c>
      <c r="F34" s="44">
        <f>F20</f>
        <v>0</v>
      </c>
      <c r="G34" s="44">
        <f t="shared" ref="G34:N34" si="24">G20</f>
        <v>3495</v>
      </c>
      <c r="H34" s="44">
        <f t="shared" si="24"/>
        <v>10560</v>
      </c>
      <c r="I34" s="44">
        <f t="shared" si="24"/>
        <v>12852.5</v>
      </c>
      <c r="J34" s="44">
        <f t="shared" si="24"/>
        <v>4071.6</v>
      </c>
      <c r="K34" s="44">
        <f t="shared" si="24"/>
        <v>5148.5</v>
      </c>
      <c r="L34" s="44">
        <f t="shared" si="24"/>
        <v>0</v>
      </c>
      <c r="M34" s="44">
        <f t="shared" si="24"/>
        <v>0</v>
      </c>
      <c r="N34" s="44">
        <f t="shared" si="24"/>
        <v>0</v>
      </c>
      <c r="O34" s="101"/>
      <c r="P34" s="101"/>
      <c r="Q34" s="13"/>
    </row>
    <row r="35" spans="1:21" x14ac:dyDescent="0.2">
      <c r="A35" s="61"/>
      <c r="B35" s="78" t="s">
        <v>93</v>
      </c>
      <c r="C35" s="77"/>
      <c r="D35" s="77"/>
      <c r="E35" s="44">
        <f t="shared" ref="E35:E36" si="25">SUM(F35:N35)</f>
        <v>86244.5</v>
      </c>
      <c r="F35" s="44">
        <f>F21+F28</f>
        <v>0</v>
      </c>
      <c r="G35" s="44">
        <f t="shared" ref="G35:N35" si="26">G21+G28</f>
        <v>11505</v>
      </c>
      <c r="H35" s="44">
        <f t="shared" si="26"/>
        <v>19440</v>
      </c>
      <c r="I35" s="44">
        <f t="shared" si="26"/>
        <v>26094.5</v>
      </c>
      <c r="J35" s="44">
        <f t="shared" si="26"/>
        <v>10387.6</v>
      </c>
      <c r="K35" s="44">
        <f t="shared" si="26"/>
        <v>11248.1</v>
      </c>
      <c r="L35" s="44">
        <f t="shared" si="26"/>
        <v>2037.6999999999998</v>
      </c>
      <c r="M35" s="44">
        <f t="shared" si="26"/>
        <v>4137.3999999999996</v>
      </c>
      <c r="N35" s="44">
        <f t="shared" si="26"/>
        <v>1394.2</v>
      </c>
      <c r="O35" s="101"/>
      <c r="P35" s="101"/>
      <c r="Q35" s="13"/>
    </row>
    <row r="36" spans="1:21" x14ac:dyDescent="0.2">
      <c r="A36" s="61"/>
      <c r="B36" s="78" t="s">
        <v>19</v>
      </c>
      <c r="C36" s="77"/>
      <c r="D36" s="77"/>
      <c r="E36" s="44">
        <f t="shared" si="25"/>
        <v>10231.799999999999</v>
      </c>
      <c r="F36" s="44">
        <f>F22+F29</f>
        <v>0</v>
      </c>
      <c r="G36" s="44">
        <f t="shared" ref="G36:N36" si="27">G22+G29</f>
        <v>1000</v>
      </c>
      <c r="H36" s="44">
        <f t="shared" si="27"/>
        <v>1600</v>
      </c>
      <c r="I36" s="44">
        <f t="shared" si="27"/>
        <v>3853</v>
      </c>
      <c r="J36" s="44">
        <f t="shared" si="27"/>
        <v>1430.3</v>
      </c>
      <c r="K36" s="44">
        <f t="shared" si="27"/>
        <v>1703.7</v>
      </c>
      <c r="L36" s="44">
        <f t="shared" si="27"/>
        <v>179.9</v>
      </c>
      <c r="M36" s="44">
        <f t="shared" si="27"/>
        <v>359.9</v>
      </c>
      <c r="N36" s="44">
        <f t="shared" si="27"/>
        <v>105</v>
      </c>
      <c r="O36" s="102"/>
      <c r="P36" s="102"/>
      <c r="Q36" s="13"/>
    </row>
    <row r="37" spans="1:21" x14ac:dyDescent="0.2">
      <c r="A37" s="97" t="s">
        <v>96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13"/>
    </row>
    <row r="38" spans="1:21" ht="32.25" customHeight="1" x14ac:dyDescent="0.2">
      <c r="A38" s="114" t="s">
        <v>141</v>
      </c>
      <c r="B38" s="112" t="s">
        <v>98</v>
      </c>
      <c r="C38" s="69" t="s">
        <v>94</v>
      </c>
      <c r="D38" s="109" t="s">
        <v>97</v>
      </c>
      <c r="E38" s="70">
        <f>SUM(F38:N38)</f>
        <v>141198.79999999999</v>
      </c>
      <c r="F38" s="70">
        <f>SUM(F39:F40)</f>
        <v>7570.4000000000005</v>
      </c>
      <c r="G38" s="70">
        <f t="shared" ref="G38:N38" si="28">SUM(G39:G40)</f>
        <v>8650.7999999999993</v>
      </c>
      <c r="H38" s="70">
        <f t="shared" si="28"/>
        <v>14333.300000000001</v>
      </c>
      <c r="I38" s="70">
        <f t="shared" si="28"/>
        <v>6091.1</v>
      </c>
      <c r="J38" s="70">
        <f t="shared" si="28"/>
        <v>26192.3</v>
      </c>
      <c r="K38" s="70">
        <f t="shared" si="28"/>
        <v>21016</v>
      </c>
      <c r="L38" s="70">
        <f t="shared" si="28"/>
        <v>26313.7</v>
      </c>
      <c r="M38" s="70">
        <f t="shared" ref="M38" si="29">SUM(M39:M40)</f>
        <v>22605.9</v>
      </c>
      <c r="N38" s="70">
        <f t="shared" si="28"/>
        <v>8425.2999999999993</v>
      </c>
      <c r="O38" s="109"/>
      <c r="P38" s="109"/>
      <c r="Q38" s="13"/>
    </row>
    <row r="39" spans="1:21" ht="32.25" customHeight="1" x14ac:dyDescent="0.2">
      <c r="A39" s="114"/>
      <c r="B39" s="112"/>
      <c r="C39" s="69" t="s">
        <v>93</v>
      </c>
      <c r="D39" s="110"/>
      <c r="E39" s="70">
        <f>SUM(F39:N39)</f>
        <v>65756.899999999994</v>
      </c>
      <c r="F39" s="71">
        <f>F42+F46</f>
        <v>0</v>
      </c>
      <c r="G39" s="71">
        <f t="shared" ref="G39:N39" si="30">G42+G46</f>
        <v>2650</v>
      </c>
      <c r="H39" s="71">
        <f t="shared" si="30"/>
        <v>3086.5</v>
      </c>
      <c r="I39" s="71">
        <f t="shared" si="30"/>
        <v>630</v>
      </c>
      <c r="J39" s="71">
        <f t="shared" si="30"/>
        <v>19178</v>
      </c>
      <c r="K39" s="71">
        <f t="shared" si="30"/>
        <v>12000</v>
      </c>
      <c r="L39" s="71">
        <f t="shared" si="30"/>
        <v>14151.2</v>
      </c>
      <c r="M39" s="71">
        <f t="shared" si="30"/>
        <v>14061.2</v>
      </c>
      <c r="N39" s="71">
        <f t="shared" si="30"/>
        <v>0</v>
      </c>
      <c r="O39" s="110"/>
      <c r="P39" s="110"/>
      <c r="Q39" s="13"/>
    </row>
    <row r="40" spans="1:21" ht="32.25" customHeight="1" x14ac:dyDescent="0.2">
      <c r="A40" s="114"/>
      <c r="B40" s="112"/>
      <c r="C40" s="69" t="s">
        <v>19</v>
      </c>
      <c r="D40" s="111"/>
      <c r="E40" s="70">
        <f>SUM(F40:N40)</f>
        <v>75441.899999999994</v>
      </c>
      <c r="F40" s="71">
        <f>F41+F43+F44+F45</f>
        <v>7570.4000000000005</v>
      </c>
      <c r="G40" s="71">
        <f t="shared" ref="G40:N40" si="31">G41+G43+G44+G45</f>
        <v>6000.8</v>
      </c>
      <c r="H40" s="71">
        <f t="shared" si="31"/>
        <v>11246.800000000001</v>
      </c>
      <c r="I40" s="71">
        <f t="shared" si="31"/>
        <v>5461.1</v>
      </c>
      <c r="J40" s="71">
        <f t="shared" si="31"/>
        <v>7014.2999999999993</v>
      </c>
      <c r="K40" s="71">
        <f t="shared" si="31"/>
        <v>9016</v>
      </c>
      <c r="L40" s="71">
        <f t="shared" si="31"/>
        <v>12162.5</v>
      </c>
      <c r="M40" s="71">
        <f t="shared" si="31"/>
        <v>8544.6999999999989</v>
      </c>
      <c r="N40" s="71">
        <f t="shared" si="31"/>
        <v>8425.2999999999993</v>
      </c>
      <c r="O40" s="111"/>
      <c r="P40" s="111"/>
      <c r="Q40" s="13"/>
    </row>
    <row r="41" spans="1:21" ht="24" x14ac:dyDescent="0.2">
      <c r="A41" s="107" t="s">
        <v>4</v>
      </c>
      <c r="B41" s="103" t="s">
        <v>51</v>
      </c>
      <c r="C41" s="55" t="s">
        <v>18</v>
      </c>
      <c r="D41" s="107" t="s">
        <v>99</v>
      </c>
      <c r="E41" s="16">
        <f>SUM(F41:N41)</f>
        <v>2025.7000000000003</v>
      </c>
      <c r="F41" s="17">
        <v>1154.2</v>
      </c>
      <c r="G41" s="18">
        <f>300-41.9</f>
        <v>258.10000000000002</v>
      </c>
      <c r="H41" s="18">
        <v>280</v>
      </c>
      <c r="I41" s="19">
        <v>70</v>
      </c>
      <c r="J41" s="19">
        <f>221.1+42.3</f>
        <v>263.39999999999998</v>
      </c>
      <c r="K41" s="19">
        <v>0</v>
      </c>
      <c r="L41" s="19">
        <v>0</v>
      </c>
      <c r="M41" s="19">
        <v>0</v>
      </c>
      <c r="N41" s="19">
        <v>0</v>
      </c>
      <c r="O41" s="103" t="s">
        <v>77</v>
      </c>
      <c r="P41" s="103" t="s">
        <v>52</v>
      </c>
      <c r="Q41" s="13"/>
      <c r="R41" s="137"/>
      <c r="S41" s="137"/>
      <c r="T41" s="137"/>
      <c r="U41" s="137"/>
    </row>
    <row r="42" spans="1:21" ht="24" x14ac:dyDescent="0.2">
      <c r="A42" s="108"/>
      <c r="B42" s="104"/>
      <c r="C42" s="55" t="s">
        <v>93</v>
      </c>
      <c r="D42" s="108"/>
      <c r="E42" s="16">
        <f t="shared" ref="E42:E46" si="32">SUM(F42:N42)</f>
        <v>5635.1</v>
      </c>
      <c r="F42" s="17">
        <v>0</v>
      </c>
      <c r="G42" s="18">
        <v>0</v>
      </c>
      <c r="H42" s="18">
        <v>0</v>
      </c>
      <c r="I42" s="19">
        <v>630</v>
      </c>
      <c r="J42" s="19">
        <f>4200+805.1</f>
        <v>5005.1000000000004</v>
      </c>
      <c r="K42" s="19">
        <v>0</v>
      </c>
      <c r="L42" s="19">
        <v>0</v>
      </c>
      <c r="M42" s="19">
        <v>0</v>
      </c>
      <c r="N42" s="19">
        <v>0</v>
      </c>
      <c r="O42" s="104"/>
      <c r="P42" s="104"/>
      <c r="Q42" s="13"/>
      <c r="R42" s="10"/>
      <c r="S42" s="10"/>
      <c r="T42" s="10"/>
      <c r="U42" s="10"/>
    </row>
    <row r="43" spans="1:21" ht="36" x14ac:dyDescent="0.2">
      <c r="A43" s="14" t="s">
        <v>5</v>
      </c>
      <c r="B43" s="33" t="s">
        <v>55</v>
      </c>
      <c r="C43" s="55" t="s">
        <v>18</v>
      </c>
      <c r="D43" s="15" t="s">
        <v>100</v>
      </c>
      <c r="E43" s="16">
        <f t="shared" si="32"/>
        <v>4704.7</v>
      </c>
      <c r="F43" s="17">
        <v>623.1</v>
      </c>
      <c r="G43" s="18">
        <v>415.9</v>
      </c>
      <c r="H43" s="18">
        <f>256+475+1037</f>
        <v>1768</v>
      </c>
      <c r="I43" s="19">
        <v>100</v>
      </c>
      <c r="J43" s="19">
        <v>0</v>
      </c>
      <c r="K43" s="19">
        <f>300+339.5+560.5-43</f>
        <v>1157</v>
      </c>
      <c r="L43" s="19">
        <f>60-60</f>
        <v>0</v>
      </c>
      <c r="M43" s="19">
        <v>300</v>
      </c>
      <c r="N43" s="19">
        <v>340.7</v>
      </c>
      <c r="O43" s="79" t="s">
        <v>77</v>
      </c>
      <c r="P43" s="20" t="s">
        <v>53</v>
      </c>
      <c r="Q43" s="13"/>
      <c r="R43" s="137"/>
      <c r="S43" s="137"/>
      <c r="T43" s="137"/>
      <c r="U43" s="137"/>
    </row>
    <row r="44" spans="1:21" ht="72" x14ac:dyDescent="0.2">
      <c r="A44" s="55" t="s">
        <v>6</v>
      </c>
      <c r="B44" s="33" t="s">
        <v>56</v>
      </c>
      <c r="C44" s="14" t="s">
        <v>18</v>
      </c>
      <c r="D44" s="14" t="s">
        <v>97</v>
      </c>
      <c r="E44" s="16">
        <f t="shared" si="32"/>
        <v>33167.700000000004</v>
      </c>
      <c r="F44" s="17">
        <v>4076.3</v>
      </c>
      <c r="G44" s="21">
        <f>2674.4</f>
        <v>2674.4</v>
      </c>
      <c r="H44" s="21">
        <f>2910.3+298+487.4-7.5</f>
        <v>3688.2000000000003</v>
      </c>
      <c r="I44" s="19">
        <f>2917+590</f>
        <v>3507</v>
      </c>
      <c r="J44" s="19">
        <f>3604+39.9-10.7-144.3+9.7</f>
        <v>3498.6</v>
      </c>
      <c r="K44" s="19">
        <f>3701.8+95+33.9+235</f>
        <v>4065.7000000000003</v>
      </c>
      <c r="L44" s="19">
        <f>3849.9-95-2.8+150+147.4</f>
        <v>4049.5</v>
      </c>
      <c r="M44" s="19">
        <f>3003.9+400</f>
        <v>3403.9</v>
      </c>
      <c r="N44" s="19">
        <v>4204.1000000000004</v>
      </c>
      <c r="O44" s="54" t="s">
        <v>77</v>
      </c>
      <c r="P44" s="54" t="s">
        <v>54</v>
      </c>
      <c r="Q44" s="13"/>
      <c r="R44" s="10"/>
      <c r="S44" s="10"/>
      <c r="T44" s="10"/>
      <c r="U44" s="10"/>
    </row>
    <row r="45" spans="1:21" ht="24" x14ac:dyDescent="0.2">
      <c r="A45" s="107" t="s">
        <v>104</v>
      </c>
      <c r="B45" s="103" t="s">
        <v>79</v>
      </c>
      <c r="C45" s="55" t="s">
        <v>18</v>
      </c>
      <c r="D45" s="107" t="s">
        <v>97</v>
      </c>
      <c r="E45" s="16">
        <f t="shared" si="32"/>
        <v>35543.800000000003</v>
      </c>
      <c r="F45" s="17">
        <v>1716.8</v>
      </c>
      <c r="G45" s="18">
        <f>2264.5+312.6+41.9-60-57+150.4</f>
        <v>2652.4</v>
      </c>
      <c r="H45" s="18">
        <f>1339.3+654.8+343+3500-122.6-21-182.9</f>
        <v>5510.6</v>
      </c>
      <c r="I45" s="19">
        <f>1419.4+237.9+70+311.5-70-184.7</f>
        <v>1784.1000000000001</v>
      </c>
      <c r="J45" s="19">
        <f>2050.7+314.3+42.1+578.9-42.3-20-39.9-78+24.9+304.4-11.4+128.6</f>
        <v>3252.2999999999997</v>
      </c>
      <c r="K45" s="19">
        <f>2250+60+247.8+42.4+631.6+284.3+125+130+22.2</f>
        <v>3793.3</v>
      </c>
      <c r="L45" s="18">
        <f>2230.3+369.7+450+578.9+274+3836+121+83+50+0.1+120</f>
        <v>8113</v>
      </c>
      <c r="M45" s="18">
        <f>3695.7+300+266.2+578.9</f>
        <v>4840.7999999999993</v>
      </c>
      <c r="N45" s="18">
        <v>3880.5</v>
      </c>
      <c r="O45" s="103" t="s">
        <v>77</v>
      </c>
      <c r="P45" s="103" t="s">
        <v>80</v>
      </c>
      <c r="Q45" s="93"/>
      <c r="R45" s="10"/>
      <c r="S45" s="10"/>
      <c r="T45" s="10"/>
      <c r="U45" s="10"/>
    </row>
    <row r="46" spans="1:21" ht="24" x14ac:dyDescent="0.2">
      <c r="A46" s="108"/>
      <c r="B46" s="104"/>
      <c r="C46" s="14" t="s">
        <v>93</v>
      </c>
      <c r="D46" s="108"/>
      <c r="E46" s="16">
        <f t="shared" si="32"/>
        <v>60121.8</v>
      </c>
      <c r="F46" s="17">
        <v>0</v>
      </c>
      <c r="G46" s="18">
        <v>2650</v>
      </c>
      <c r="H46" s="18">
        <v>3086.5</v>
      </c>
      <c r="I46" s="19">
        <v>0</v>
      </c>
      <c r="J46" s="19">
        <f>3178+11000-805.1+800</f>
        <v>14172.9</v>
      </c>
      <c r="K46" s="19">
        <v>12000</v>
      </c>
      <c r="L46" s="22">
        <f>11000+3151.2</f>
        <v>14151.2</v>
      </c>
      <c r="M46" s="22">
        <f>11000+3061.2</f>
        <v>14061.2</v>
      </c>
      <c r="N46" s="22">
        <v>0</v>
      </c>
      <c r="O46" s="119"/>
      <c r="P46" s="104"/>
      <c r="Q46" s="13"/>
      <c r="R46" s="10"/>
      <c r="S46" s="10"/>
      <c r="T46" s="10"/>
      <c r="U46" s="10"/>
    </row>
    <row r="47" spans="1:21" ht="24" x14ac:dyDescent="0.2">
      <c r="A47" s="114" t="s">
        <v>142</v>
      </c>
      <c r="B47" s="112" t="s">
        <v>102</v>
      </c>
      <c r="C47" s="69" t="s">
        <v>94</v>
      </c>
      <c r="D47" s="109" t="s">
        <v>97</v>
      </c>
      <c r="E47" s="70">
        <f t="shared" ref="E47:E49" si="33">SUM(F47:N47)</f>
        <v>104683.59999999999</v>
      </c>
      <c r="F47" s="70">
        <f>SUM(F48:F49)</f>
        <v>20120.600000000002</v>
      </c>
      <c r="G47" s="70">
        <f t="shared" ref="G47" si="34">SUM(G48:G49)</f>
        <v>31963.599999999999</v>
      </c>
      <c r="H47" s="70">
        <f t="shared" ref="H47" si="35">SUM(H48:H49)</f>
        <v>15316.8</v>
      </c>
      <c r="I47" s="70">
        <f t="shared" ref="I47" si="36">SUM(I48:I49)</f>
        <v>15297.7</v>
      </c>
      <c r="J47" s="70">
        <f t="shared" ref="J47" si="37">SUM(J48:J49)</f>
        <v>4822.7999999999993</v>
      </c>
      <c r="K47" s="70">
        <f t="shared" ref="K47" si="38">SUM(K48:K49)</f>
        <v>9378</v>
      </c>
      <c r="L47" s="70">
        <f t="shared" ref="L47" si="39">SUM(L48:L49)</f>
        <v>6776.9</v>
      </c>
      <c r="M47" s="70">
        <f t="shared" ref="M47:N47" si="40">SUM(M48:M49)</f>
        <v>713.2</v>
      </c>
      <c r="N47" s="70">
        <f t="shared" si="40"/>
        <v>294</v>
      </c>
      <c r="O47" s="109"/>
      <c r="P47" s="138"/>
      <c r="Q47" s="13"/>
      <c r="R47" s="10"/>
      <c r="S47" s="10"/>
      <c r="T47" s="10"/>
      <c r="U47" s="10"/>
    </row>
    <row r="48" spans="1:21" ht="24" x14ac:dyDescent="0.2">
      <c r="A48" s="114"/>
      <c r="B48" s="112"/>
      <c r="C48" s="69" t="s">
        <v>93</v>
      </c>
      <c r="D48" s="110"/>
      <c r="E48" s="70">
        <f t="shared" si="33"/>
        <v>10773.1</v>
      </c>
      <c r="F48" s="71">
        <f>F55+F57+F59</f>
        <v>0</v>
      </c>
      <c r="G48" s="71">
        <f t="shared" ref="G48:N48" si="41">G55+G57+G59</f>
        <v>540</v>
      </c>
      <c r="H48" s="71">
        <f t="shared" si="41"/>
        <v>0</v>
      </c>
      <c r="I48" s="71">
        <f t="shared" si="41"/>
        <v>7069</v>
      </c>
      <c r="J48" s="71">
        <f t="shared" si="41"/>
        <v>0</v>
      </c>
      <c r="K48" s="71">
        <f t="shared" si="41"/>
        <v>3164.1</v>
      </c>
      <c r="L48" s="71">
        <f t="shared" si="41"/>
        <v>0</v>
      </c>
      <c r="M48" s="71">
        <f t="shared" ref="M48" si="42">M55+M57+M59</f>
        <v>0</v>
      </c>
      <c r="N48" s="71">
        <f t="shared" si="41"/>
        <v>0</v>
      </c>
      <c r="O48" s="110"/>
      <c r="P48" s="110"/>
      <c r="Q48" s="13"/>
      <c r="R48" s="10"/>
      <c r="S48" s="10"/>
      <c r="T48" s="10"/>
      <c r="U48" s="10"/>
    </row>
    <row r="49" spans="1:21" ht="24" x14ac:dyDescent="0.2">
      <c r="A49" s="114"/>
      <c r="B49" s="112"/>
      <c r="C49" s="69" t="s">
        <v>19</v>
      </c>
      <c r="D49" s="111"/>
      <c r="E49" s="70">
        <f t="shared" si="33"/>
        <v>93910.499999999985</v>
      </c>
      <c r="F49" s="71">
        <f>F50+F51+F52+F53+F54+F56+F58+F60</f>
        <v>20120.600000000002</v>
      </c>
      <c r="G49" s="71">
        <f t="shared" ref="G49:N49" si="43">G50+G51+G52+G53+G54+G56+G58+G60</f>
        <v>31423.599999999999</v>
      </c>
      <c r="H49" s="71">
        <f t="shared" si="43"/>
        <v>15316.8</v>
      </c>
      <c r="I49" s="71">
        <f t="shared" si="43"/>
        <v>8228.7000000000007</v>
      </c>
      <c r="J49" s="71">
        <f t="shared" si="43"/>
        <v>4822.7999999999993</v>
      </c>
      <c r="K49" s="71">
        <f t="shared" si="43"/>
        <v>6213.9</v>
      </c>
      <c r="L49" s="71">
        <f t="shared" si="43"/>
        <v>6776.9</v>
      </c>
      <c r="M49" s="71">
        <f t="shared" ref="M49" si="44">M50+M51+M52+M53+M54+M56+M58+M60</f>
        <v>713.2</v>
      </c>
      <c r="N49" s="71">
        <f t="shared" si="43"/>
        <v>294</v>
      </c>
      <c r="O49" s="111"/>
      <c r="P49" s="111"/>
      <c r="Q49" s="13"/>
      <c r="R49" s="10"/>
      <c r="S49" s="10"/>
      <c r="T49" s="10"/>
      <c r="U49" s="10"/>
    </row>
    <row r="50" spans="1:21" ht="111.75" customHeight="1" x14ac:dyDescent="0.2">
      <c r="A50" s="23" t="s">
        <v>7</v>
      </c>
      <c r="B50" s="24" t="s">
        <v>124</v>
      </c>
      <c r="C50" s="14" t="s">
        <v>18</v>
      </c>
      <c r="D50" s="15" t="s">
        <v>148</v>
      </c>
      <c r="E50" s="16">
        <f>SUM(F50:N50)</f>
        <v>48357.2</v>
      </c>
      <c r="F50" s="17">
        <v>18080.7</v>
      </c>
      <c r="G50" s="18">
        <f>100+29974+5+100+97.5</f>
        <v>30276.5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19">
        <v>0</v>
      </c>
      <c r="N50" s="19">
        <v>0</v>
      </c>
      <c r="O50" s="79" t="s">
        <v>77</v>
      </c>
      <c r="P50" s="20" t="s">
        <v>54</v>
      </c>
      <c r="Q50" s="13"/>
      <c r="R50" s="10"/>
      <c r="S50" s="10"/>
      <c r="T50" s="10"/>
      <c r="U50" s="10"/>
    </row>
    <row r="51" spans="1:21" ht="72" x14ac:dyDescent="0.2">
      <c r="A51" s="23" t="s">
        <v>8</v>
      </c>
      <c r="B51" s="24" t="s">
        <v>125</v>
      </c>
      <c r="C51" s="14" t="s">
        <v>18</v>
      </c>
      <c r="D51" s="15" t="s">
        <v>148</v>
      </c>
      <c r="E51" s="16">
        <f t="shared" ref="E51:E60" si="45">SUM(F51:N51)</f>
        <v>2863.5</v>
      </c>
      <c r="F51" s="17">
        <v>1963.9</v>
      </c>
      <c r="G51" s="18">
        <v>899.6</v>
      </c>
      <c r="H51" s="18">
        <v>0</v>
      </c>
      <c r="I51" s="18">
        <v>0</v>
      </c>
      <c r="J51" s="18">
        <v>0</v>
      </c>
      <c r="K51" s="18">
        <v>0</v>
      </c>
      <c r="L51" s="19">
        <v>0</v>
      </c>
      <c r="M51" s="19">
        <v>0</v>
      </c>
      <c r="N51" s="19">
        <v>0</v>
      </c>
      <c r="O51" s="79" t="s">
        <v>77</v>
      </c>
      <c r="P51" s="20" t="s">
        <v>54</v>
      </c>
      <c r="Q51" s="13"/>
      <c r="R51" s="10"/>
      <c r="S51" s="10"/>
      <c r="T51" s="10"/>
      <c r="U51" s="10"/>
    </row>
    <row r="52" spans="1:21" ht="72" x14ac:dyDescent="0.2">
      <c r="A52" s="23" t="s">
        <v>16</v>
      </c>
      <c r="B52" s="24" t="s">
        <v>126</v>
      </c>
      <c r="C52" s="14" t="s">
        <v>18</v>
      </c>
      <c r="D52" s="15">
        <v>2017</v>
      </c>
      <c r="E52" s="16">
        <f t="shared" si="45"/>
        <v>39</v>
      </c>
      <c r="F52" s="17">
        <v>39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9">
        <v>0</v>
      </c>
      <c r="M52" s="19">
        <v>0</v>
      </c>
      <c r="N52" s="19">
        <v>0</v>
      </c>
      <c r="O52" s="79" t="s">
        <v>77</v>
      </c>
      <c r="P52" s="20" t="s">
        <v>54</v>
      </c>
      <c r="Q52" s="13"/>
      <c r="R52" s="10"/>
      <c r="S52" s="10"/>
      <c r="T52" s="10"/>
      <c r="U52" s="10"/>
    </row>
    <row r="53" spans="1:21" ht="72" x14ac:dyDescent="0.2">
      <c r="A53" s="23" t="s">
        <v>69</v>
      </c>
      <c r="B53" s="24" t="s">
        <v>127</v>
      </c>
      <c r="C53" s="14" t="s">
        <v>18</v>
      </c>
      <c r="D53" s="15">
        <v>2017</v>
      </c>
      <c r="E53" s="16">
        <f t="shared" si="45"/>
        <v>37</v>
      </c>
      <c r="F53" s="17">
        <v>37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19">
        <v>0</v>
      </c>
      <c r="O53" s="79" t="s">
        <v>77</v>
      </c>
      <c r="P53" s="20" t="s">
        <v>54</v>
      </c>
      <c r="Q53" s="13"/>
      <c r="R53" s="10"/>
      <c r="S53" s="10"/>
      <c r="T53" s="10"/>
      <c r="U53" s="10"/>
    </row>
    <row r="54" spans="1:21" ht="24" x14ac:dyDescent="0.2">
      <c r="A54" s="115" t="s">
        <v>143</v>
      </c>
      <c r="B54" s="103" t="s">
        <v>128</v>
      </c>
      <c r="C54" s="14" t="s">
        <v>18</v>
      </c>
      <c r="D54" s="15">
        <v>2018</v>
      </c>
      <c r="E54" s="16">
        <f t="shared" si="45"/>
        <v>30</v>
      </c>
      <c r="F54" s="17">
        <v>0</v>
      </c>
      <c r="G54" s="18">
        <v>30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03" t="s">
        <v>77</v>
      </c>
      <c r="P54" s="103" t="s">
        <v>54</v>
      </c>
      <c r="Q54" s="13"/>
      <c r="R54" s="10"/>
      <c r="S54" s="10"/>
      <c r="T54" s="10"/>
      <c r="U54" s="10"/>
    </row>
    <row r="55" spans="1:21" ht="24" x14ac:dyDescent="0.2">
      <c r="A55" s="116"/>
      <c r="B55" s="104"/>
      <c r="C55" s="14" t="s">
        <v>93</v>
      </c>
      <c r="D55" s="15">
        <v>2018</v>
      </c>
      <c r="E55" s="16">
        <f t="shared" si="45"/>
        <v>270</v>
      </c>
      <c r="F55" s="17">
        <v>0</v>
      </c>
      <c r="G55" s="18">
        <v>270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04"/>
      <c r="P55" s="104"/>
      <c r="Q55" s="13"/>
      <c r="R55" s="10"/>
      <c r="S55" s="10"/>
      <c r="T55" s="10"/>
      <c r="U55" s="10"/>
    </row>
    <row r="56" spans="1:21" ht="24" x14ac:dyDescent="0.2">
      <c r="A56" s="115" t="s">
        <v>144</v>
      </c>
      <c r="B56" s="103" t="s">
        <v>78</v>
      </c>
      <c r="C56" s="14" t="s">
        <v>18</v>
      </c>
      <c r="D56" s="15">
        <v>2018</v>
      </c>
      <c r="E56" s="16">
        <f t="shared" si="45"/>
        <v>30</v>
      </c>
      <c r="F56" s="17">
        <v>0</v>
      </c>
      <c r="G56" s="18">
        <v>30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03" t="s">
        <v>77</v>
      </c>
      <c r="P56" s="103" t="s">
        <v>54</v>
      </c>
      <c r="Q56" s="13"/>
    </row>
    <row r="57" spans="1:21" ht="24" x14ac:dyDescent="0.2">
      <c r="A57" s="116"/>
      <c r="B57" s="104"/>
      <c r="C57" s="14" t="s">
        <v>93</v>
      </c>
      <c r="D57" s="15">
        <v>2018</v>
      </c>
      <c r="E57" s="16">
        <f t="shared" si="45"/>
        <v>270</v>
      </c>
      <c r="F57" s="17">
        <v>0</v>
      </c>
      <c r="G57" s="18">
        <v>270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04"/>
      <c r="P57" s="104"/>
      <c r="Q57" s="13"/>
    </row>
    <row r="58" spans="1:21" ht="24" x14ac:dyDescent="0.2">
      <c r="A58" s="105" t="s">
        <v>145</v>
      </c>
      <c r="B58" s="103" t="s">
        <v>83</v>
      </c>
      <c r="C58" s="14" t="s">
        <v>18</v>
      </c>
      <c r="D58" s="145" t="s">
        <v>164</v>
      </c>
      <c r="E58" s="16">
        <f t="shared" si="45"/>
        <v>39605.399999999994</v>
      </c>
      <c r="F58" s="17">
        <v>0</v>
      </c>
      <c r="G58" s="18">
        <v>0</v>
      </c>
      <c r="H58" s="18">
        <f>300+4800+4000+2000+75+239.4+410.2+974.9+1430.3+337</f>
        <v>14566.8</v>
      </c>
      <c r="I58" s="18">
        <f>309-119+6128.2+175.3+30+44.3</f>
        <v>6567.8</v>
      </c>
      <c r="J58" s="18">
        <f>3697.6+305.7+20+78+74.9-24.9+294.2-32.7+60</f>
        <v>4472.7999999999993</v>
      </c>
      <c r="K58" s="18">
        <f>170+1000+312.9+1800-1800+258.1+107.5+152.6+450+184.5+44+390+1000+300+50+74.4+34.1+38.2+418.8+1128.5+226.4-955.3+25+131.2+230.2+12.6+150+280.2</f>
        <v>6213.9</v>
      </c>
      <c r="L58" s="25">
        <v>6776.9</v>
      </c>
      <c r="M58" s="25">
        <f>280+200+233.2</f>
        <v>713.2</v>
      </c>
      <c r="N58" s="25">
        <v>294</v>
      </c>
      <c r="O58" s="103" t="s">
        <v>77</v>
      </c>
      <c r="P58" s="103" t="s">
        <v>54</v>
      </c>
      <c r="Q58" s="13"/>
    </row>
    <row r="59" spans="1:21" ht="24" x14ac:dyDescent="0.2">
      <c r="A59" s="106"/>
      <c r="B59" s="104"/>
      <c r="C59" s="14" t="s">
        <v>93</v>
      </c>
      <c r="D59" s="146"/>
      <c r="E59" s="16">
        <f t="shared" si="45"/>
        <v>10233.1</v>
      </c>
      <c r="F59" s="17">
        <v>0</v>
      </c>
      <c r="G59" s="18">
        <v>0</v>
      </c>
      <c r="H59" s="18">
        <v>0</v>
      </c>
      <c r="I59" s="18">
        <v>7069</v>
      </c>
      <c r="J59" s="18">
        <v>0</v>
      </c>
      <c r="K59" s="18">
        <v>3164.1</v>
      </c>
      <c r="L59" s="25">
        <v>0</v>
      </c>
      <c r="M59" s="25">
        <v>0</v>
      </c>
      <c r="N59" s="25">
        <v>0</v>
      </c>
      <c r="O59" s="104"/>
      <c r="P59" s="104"/>
      <c r="Q59" s="13"/>
    </row>
    <row r="60" spans="1:21" ht="60" x14ac:dyDescent="0.2">
      <c r="A60" s="58" t="s">
        <v>146</v>
      </c>
      <c r="B60" s="20" t="s">
        <v>74</v>
      </c>
      <c r="C60" s="14" t="s">
        <v>19</v>
      </c>
      <c r="D60" s="31" t="s">
        <v>103</v>
      </c>
      <c r="E60" s="16">
        <f t="shared" si="45"/>
        <v>2948.4</v>
      </c>
      <c r="F60" s="18">
        <v>0</v>
      </c>
      <c r="G60" s="18">
        <f>87.5+100</f>
        <v>187.5</v>
      </c>
      <c r="H60" s="18">
        <v>750</v>
      </c>
      <c r="I60" s="18">
        <f>450+1500-337.1+33+15</f>
        <v>1660.9</v>
      </c>
      <c r="J60" s="18">
        <v>350</v>
      </c>
      <c r="K60" s="18">
        <v>0</v>
      </c>
      <c r="L60" s="18">
        <v>0</v>
      </c>
      <c r="M60" s="18">
        <v>0</v>
      </c>
      <c r="N60" s="18">
        <v>0</v>
      </c>
      <c r="O60" s="20" t="s">
        <v>77</v>
      </c>
      <c r="P60" s="20" t="s">
        <v>75</v>
      </c>
      <c r="Q60" s="13"/>
    </row>
    <row r="61" spans="1:21" ht="24" x14ac:dyDescent="0.2">
      <c r="A61" s="139" t="s">
        <v>130</v>
      </c>
      <c r="B61" s="142" t="s">
        <v>136</v>
      </c>
      <c r="C61" s="69" t="s">
        <v>105</v>
      </c>
      <c r="D61" s="109" t="s">
        <v>97</v>
      </c>
      <c r="E61" s="70">
        <f>E64+E62+E63</f>
        <v>281014</v>
      </c>
      <c r="F61" s="72">
        <f>SUM(F62:F64)</f>
        <v>29492.1</v>
      </c>
      <c r="G61" s="72">
        <f t="shared" ref="G61:N61" si="46">SUM(G62:G64)</f>
        <v>44507.9</v>
      </c>
      <c r="H61" s="72">
        <f t="shared" si="46"/>
        <v>62145.200000000004</v>
      </c>
      <c r="I61" s="72">
        <f t="shared" si="46"/>
        <v>41372.699999999997</v>
      </c>
      <c r="J61" s="72">
        <f t="shared" si="46"/>
        <v>25152.5</v>
      </c>
      <c r="K61" s="72">
        <f t="shared" si="46"/>
        <v>20444.699999999997</v>
      </c>
      <c r="L61" s="72">
        <f t="shared" si="46"/>
        <v>24333.799999999996</v>
      </c>
      <c r="M61" s="72">
        <f t="shared" ref="M61" si="47">SUM(M62:M64)</f>
        <v>15329.1</v>
      </c>
      <c r="N61" s="72">
        <f t="shared" si="46"/>
        <v>18236</v>
      </c>
      <c r="O61" s="109"/>
      <c r="P61" s="117"/>
      <c r="Q61" s="13"/>
    </row>
    <row r="62" spans="1:21" ht="24" x14ac:dyDescent="0.2">
      <c r="A62" s="140"/>
      <c r="B62" s="143"/>
      <c r="C62" s="69" t="s">
        <v>93</v>
      </c>
      <c r="D62" s="110"/>
      <c r="E62" s="70">
        <f>SUM(F62:N62)</f>
        <v>35468.9</v>
      </c>
      <c r="F62" s="73">
        <f>F71</f>
        <v>742.9</v>
      </c>
      <c r="G62" s="73">
        <f t="shared" ref="G62:N62" si="48">G71</f>
        <v>742.9</v>
      </c>
      <c r="H62" s="73">
        <f t="shared" si="48"/>
        <v>5192.6000000000004</v>
      </c>
      <c r="I62" s="73">
        <f t="shared" si="48"/>
        <v>19054.2</v>
      </c>
      <c r="J62" s="73">
        <f t="shared" si="48"/>
        <v>7236.3</v>
      </c>
      <c r="K62" s="73">
        <f t="shared" si="48"/>
        <v>2500</v>
      </c>
      <c r="L62" s="73">
        <f t="shared" si="48"/>
        <v>0</v>
      </c>
      <c r="M62" s="73">
        <f t="shared" ref="M62" si="49">M71</f>
        <v>0</v>
      </c>
      <c r="N62" s="73">
        <f t="shared" si="48"/>
        <v>0</v>
      </c>
      <c r="O62" s="110"/>
      <c r="P62" s="127"/>
      <c r="Q62" s="13"/>
    </row>
    <row r="63" spans="1:21" ht="48" x14ac:dyDescent="0.2">
      <c r="A63" s="140"/>
      <c r="B63" s="143"/>
      <c r="C63" s="69" t="s">
        <v>65</v>
      </c>
      <c r="D63" s="110"/>
      <c r="E63" s="70">
        <f>SUM(F63:N63)</f>
        <v>48218.5</v>
      </c>
      <c r="F63" s="73">
        <f>F72</f>
        <v>12263.4</v>
      </c>
      <c r="G63" s="73">
        <f t="shared" ref="G63:N63" si="50">G72</f>
        <v>14955.1</v>
      </c>
      <c r="H63" s="73">
        <f t="shared" si="50"/>
        <v>21000</v>
      </c>
      <c r="I63" s="73">
        <f t="shared" si="50"/>
        <v>0</v>
      </c>
      <c r="J63" s="73">
        <f t="shared" si="50"/>
        <v>0</v>
      </c>
      <c r="K63" s="73">
        <f t="shared" si="50"/>
        <v>0</v>
      </c>
      <c r="L63" s="73">
        <f t="shared" si="50"/>
        <v>0</v>
      </c>
      <c r="M63" s="73">
        <f t="shared" ref="M63" si="51">M72</f>
        <v>0</v>
      </c>
      <c r="N63" s="73">
        <f t="shared" si="50"/>
        <v>0</v>
      </c>
      <c r="O63" s="110"/>
      <c r="P63" s="127"/>
      <c r="Q63" s="13"/>
    </row>
    <row r="64" spans="1:21" ht="24" x14ac:dyDescent="0.2">
      <c r="A64" s="141"/>
      <c r="B64" s="144"/>
      <c r="C64" s="69" t="s">
        <v>19</v>
      </c>
      <c r="D64" s="111"/>
      <c r="E64" s="70">
        <f>SUM(F64:N64)</f>
        <v>197326.6</v>
      </c>
      <c r="F64" s="73">
        <f>SUM(F65+F66+F67+F68+F69+F70+F73+F74)</f>
        <v>16485.8</v>
      </c>
      <c r="G64" s="73">
        <f t="shared" ref="G64:N64" si="52">SUM(G65+G66+G67+G68+G69+G70+G73+G74)</f>
        <v>28809.9</v>
      </c>
      <c r="H64" s="73">
        <f t="shared" si="52"/>
        <v>35952.600000000006</v>
      </c>
      <c r="I64" s="73">
        <f t="shared" si="52"/>
        <v>22318.5</v>
      </c>
      <c r="J64" s="73">
        <f t="shared" si="52"/>
        <v>17916.2</v>
      </c>
      <c r="K64" s="73">
        <f t="shared" si="52"/>
        <v>17944.699999999997</v>
      </c>
      <c r="L64" s="73">
        <f t="shared" si="52"/>
        <v>24333.799999999996</v>
      </c>
      <c r="M64" s="73">
        <f t="shared" ref="M64" si="53">SUM(M65+M66+M67+M68+M69+M70+M73+M74)</f>
        <v>15329.1</v>
      </c>
      <c r="N64" s="73">
        <f t="shared" si="52"/>
        <v>18236</v>
      </c>
      <c r="O64" s="111"/>
      <c r="P64" s="118"/>
      <c r="Q64" s="13"/>
    </row>
    <row r="65" spans="1:22" ht="72" x14ac:dyDescent="0.2">
      <c r="A65" s="59" t="s">
        <v>9</v>
      </c>
      <c r="B65" s="20" t="s">
        <v>37</v>
      </c>
      <c r="C65" s="14" t="s">
        <v>19</v>
      </c>
      <c r="D65" s="60" t="s">
        <v>149</v>
      </c>
      <c r="E65" s="16">
        <f>SUM(F65:N65)</f>
        <v>873</v>
      </c>
      <c r="F65" s="26">
        <v>98.5</v>
      </c>
      <c r="G65" s="27">
        <f>205-5-71.5</f>
        <v>128.5</v>
      </c>
      <c r="H65" s="27">
        <v>150</v>
      </c>
      <c r="I65" s="28">
        <v>150</v>
      </c>
      <c r="J65" s="28">
        <f>156-156</f>
        <v>0</v>
      </c>
      <c r="K65" s="28">
        <v>162</v>
      </c>
      <c r="L65" s="28">
        <v>0</v>
      </c>
      <c r="M65" s="28">
        <v>0</v>
      </c>
      <c r="N65" s="28">
        <v>184</v>
      </c>
      <c r="O65" s="20" t="s">
        <v>77</v>
      </c>
      <c r="P65" s="20" t="s">
        <v>29</v>
      </c>
      <c r="Q65" s="13"/>
    </row>
    <row r="66" spans="1:22" ht="72" x14ac:dyDescent="0.2">
      <c r="A66" s="59" t="s">
        <v>10</v>
      </c>
      <c r="B66" s="33" t="s">
        <v>62</v>
      </c>
      <c r="C66" s="14" t="s">
        <v>19</v>
      </c>
      <c r="D66" s="60" t="s">
        <v>150</v>
      </c>
      <c r="E66" s="16">
        <f t="shared" ref="E66:E74" si="54">SUM(F66:N66)</f>
        <v>695</v>
      </c>
      <c r="F66" s="17">
        <v>0</v>
      </c>
      <c r="G66" s="18">
        <v>200</v>
      </c>
      <c r="H66" s="18">
        <v>495</v>
      </c>
      <c r="I66" s="18">
        <f>100-67-33</f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20" t="s">
        <v>77</v>
      </c>
      <c r="P66" s="20" t="s">
        <v>29</v>
      </c>
      <c r="Q66" s="13"/>
    </row>
    <row r="67" spans="1:22" ht="72" x14ac:dyDescent="0.2">
      <c r="A67" s="59" t="s">
        <v>11</v>
      </c>
      <c r="B67" s="33" t="s">
        <v>84</v>
      </c>
      <c r="C67" s="14" t="s">
        <v>19</v>
      </c>
      <c r="D67" s="60" t="s">
        <v>151</v>
      </c>
      <c r="E67" s="16">
        <f t="shared" si="54"/>
        <v>300</v>
      </c>
      <c r="F67" s="17">
        <v>0</v>
      </c>
      <c r="G67" s="18">
        <v>0</v>
      </c>
      <c r="H67" s="18">
        <v>100</v>
      </c>
      <c r="I67" s="18">
        <v>200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20" t="s">
        <v>77</v>
      </c>
      <c r="P67" s="20" t="s">
        <v>29</v>
      </c>
      <c r="Q67" s="13"/>
    </row>
    <row r="68" spans="1:22" ht="72" x14ac:dyDescent="0.2">
      <c r="A68" s="59" t="s">
        <v>167</v>
      </c>
      <c r="B68" s="33" t="s">
        <v>85</v>
      </c>
      <c r="C68" s="14" t="s">
        <v>19</v>
      </c>
      <c r="D68" s="60">
        <v>2021</v>
      </c>
      <c r="E68" s="16">
        <f t="shared" si="54"/>
        <v>770</v>
      </c>
      <c r="F68" s="17">
        <v>0</v>
      </c>
      <c r="G68" s="18">
        <v>0</v>
      </c>
      <c r="H68" s="18">
        <v>0</v>
      </c>
      <c r="I68" s="18">
        <v>0</v>
      </c>
      <c r="J68" s="18">
        <v>350</v>
      </c>
      <c r="K68" s="18">
        <v>0</v>
      </c>
      <c r="L68" s="18">
        <v>420</v>
      </c>
      <c r="M68" s="18">
        <v>0</v>
      </c>
      <c r="N68" s="18">
        <v>0</v>
      </c>
      <c r="O68" s="20" t="s">
        <v>77</v>
      </c>
      <c r="P68" s="20" t="s">
        <v>29</v>
      </c>
      <c r="Q68" s="13"/>
    </row>
    <row r="69" spans="1:22" ht="72" x14ac:dyDescent="0.2">
      <c r="A69" s="14" t="s">
        <v>168</v>
      </c>
      <c r="B69" s="20" t="s">
        <v>57</v>
      </c>
      <c r="C69" s="14" t="s">
        <v>18</v>
      </c>
      <c r="D69" s="15" t="s">
        <v>97</v>
      </c>
      <c r="E69" s="16">
        <f t="shared" si="54"/>
        <v>41810</v>
      </c>
      <c r="F69" s="17">
        <v>1876.3</v>
      </c>
      <c r="G69" s="18">
        <f>2450.6+255+192+45.7</f>
        <v>2943.2999999999997</v>
      </c>
      <c r="H69" s="18">
        <f>6660.2-51.5-12.2</f>
        <v>6596.5</v>
      </c>
      <c r="I69" s="18">
        <f>2800+867.9-82.1</f>
        <v>3585.8</v>
      </c>
      <c r="J69" s="18">
        <v>5125</v>
      </c>
      <c r="K69" s="18">
        <f>5565+309.7+142.1-24</f>
        <v>5992.8</v>
      </c>
      <c r="L69" s="18">
        <f>1593.5+2702.1+350-62+121.2</f>
        <v>4704.8</v>
      </c>
      <c r="M69" s="18">
        <v>5228.6000000000004</v>
      </c>
      <c r="N69" s="18">
        <f>4000+1756.9</f>
        <v>5756.9</v>
      </c>
      <c r="O69" s="20" t="s">
        <v>39</v>
      </c>
      <c r="P69" s="20" t="s">
        <v>29</v>
      </c>
      <c r="Q69" s="13"/>
    </row>
    <row r="70" spans="1:22" ht="24" x14ac:dyDescent="0.2">
      <c r="A70" s="107" t="s">
        <v>169</v>
      </c>
      <c r="B70" s="103" t="s">
        <v>45</v>
      </c>
      <c r="C70" s="14" t="s">
        <v>19</v>
      </c>
      <c r="D70" s="107" t="s">
        <v>97</v>
      </c>
      <c r="E70" s="16">
        <f t="shared" si="54"/>
        <v>78864.7</v>
      </c>
      <c r="F70" s="17">
        <v>906</v>
      </c>
      <c r="G70" s="18">
        <v>8454.9</v>
      </c>
      <c r="H70" s="27">
        <f>15000+410.2+239.4+974.9-239.4-410.2-974.9+3720+760+713.4-1406.6-17.8+21+95.4</f>
        <v>18885.400000000005</v>
      </c>
      <c r="I70" s="27">
        <f>6818.8+500+1000+156.1+881.7+408.6+119.8-30</f>
        <v>9855</v>
      </c>
      <c r="J70" s="27">
        <f>8702.1+315.8-8.4-11-100-42.3</f>
        <v>8856.2000000000007</v>
      </c>
      <c r="K70" s="27">
        <f>8644.5-322.2-76.5-38.2-64-631.6-281-181.6-103.1+555+393.7</f>
        <v>7894.9999999999973</v>
      </c>
      <c r="L70" s="30">
        <f>6000+1200+564.3+650+1010+700-125-270-60+300+60-27</f>
        <v>10002.299999999999</v>
      </c>
      <c r="M70" s="30">
        <v>6009.9</v>
      </c>
      <c r="N70" s="30">
        <v>8000</v>
      </c>
      <c r="O70" s="103" t="s">
        <v>39</v>
      </c>
      <c r="P70" s="103" t="s">
        <v>68</v>
      </c>
      <c r="Q70" s="13"/>
    </row>
    <row r="71" spans="1:22" s="11" customFormat="1" ht="24" x14ac:dyDescent="0.2">
      <c r="A71" s="125"/>
      <c r="B71" s="119"/>
      <c r="C71" s="14" t="s">
        <v>93</v>
      </c>
      <c r="D71" s="125"/>
      <c r="E71" s="16">
        <f t="shared" si="54"/>
        <v>35468.9</v>
      </c>
      <c r="F71" s="17">
        <v>742.9</v>
      </c>
      <c r="G71" s="18">
        <v>742.9</v>
      </c>
      <c r="H71" s="27">
        <f>736.8+4455.8</f>
        <v>5192.6000000000004</v>
      </c>
      <c r="I71" s="27">
        <f>726+1578.2+16750</f>
        <v>19054.2</v>
      </c>
      <c r="J71" s="27">
        <f>6000+1236.3</f>
        <v>7236.3</v>
      </c>
      <c r="K71" s="27">
        <f>14500-12000</f>
        <v>2500</v>
      </c>
      <c r="L71" s="27">
        <v>0</v>
      </c>
      <c r="M71" s="27">
        <v>0</v>
      </c>
      <c r="N71" s="27">
        <v>0</v>
      </c>
      <c r="O71" s="119"/>
      <c r="P71" s="119"/>
      <c r="Q71" s="93">
        <f>L73+L65+L69</f>
        <v>8370.4000000000015</v>
      </c>
    </row>
    <row r="72" spans="1:22" s="11" customFormat="1" ht="48" x14ac:dyDescent="0.2">
      <c r="A72" s="108"/>
      <c r="B72" s="104"/>
      <c r="C72" s="14" t="s">
        <v>65</v>
      </c>
      <c r="D72" s="108"/>
      <c r="E72" s="16">
        <f t="shared" si="54"/>
        <v>48218.5</v>
      </c>
      <c r="F72" s="17">
        <v>12263.4</v>
      </c>
      <c r="G72" s="18">
        <f>15000-44.9</f>
        <v>14955.1</v>
      </c>
      <c r="H72" s="27">
        <v>21000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104"/>
      <c r="P72" s="104"/>
      <c r="Q72" s="13"/>
    </row>
    <row r="73" spans="1:22" s="11" customFormat="1" ht="72" x14ac:dyDescent="0.2">
      <c r="A73" s="14" t="s">
        <v>170</v>
      </c>
      <c r="B73" s="24" t="s">
        <v>46</v>
      </c>
      <c r="C73" s="14" t="s">
        <v>18</v>
      </c>
      <c r="D73" s="15" t="s">
        <v>97</v>
      </c>
      <c r="E73" s="16">
        <f t="shared" si="54"/>
        <v>31794</v>
      </c>
      <c r="F73" s="32">
        <v>2500</v>
      </c>
      <c r="G73" s="21">
        <v>3000</v>
      </c>
      <c r="H73" s="21">
        <v>3375.7</v>
      </c>
      <c r="I73" s="19">
        <v>3500</v>
      </c>
      <c r="J73" s="19">
        <v>3585</v>
      </c>
      <c r="K73" s="19">
        <v>3782</v>
      </c>
      <c r="L73" s="19">
        <f>3933.3-146.5-121.2</f>
        <v>3665.6000000000004</v>
      </c>
      <c r="M73" s="19">
        <v>4090.6</v>
      </c>
      <c r="N73" s="19">
        <v>4295.1000000000004</v>
      </c>
      <c r="O73" s="29" t="s">
        <v>39</v>
      </c>
      <c r="P73" s="54" t="s">
        <v>29</v>
      </c>
      <c r="Q73" s="13"/>
    </row>
    <row r="74" spans="1:22" s="11" customFormat="1" ht="36" x14ac:dyDescent="0.2">
      <c r="A74" s="23" t="s">
        <v>171</v>
      </c>
      <c r="B74" s="33" t="s">
        <v>61</v>
      </c>
      <c r="C74" s="14" t="s">
        <v>18</v>
      </c>
      <c r="D74" s="15" t="s">
        <v>106</v>
      </c>
      <c r="E74" s="16">
        <f t="shared" si="54"/>
        <v>42219.9</v>
      </c>
      <c r="F74" s="17">
        <v>11105</v>
      </c>
      <c r="G74" s="18">
        <f>13513.7+569.5</f>
        <v>14083.2</v>
      </c>
      <c r="H74" s="18">
        <v>6350</v>
      </c>
      <c r="I74" s="18">
        <f>4960.7+67</f>
        <v>5027.7</v>
      </c>
      <c r="J74" s="18">
        <v>0</v>
      </c>
      <c r="K74" s="18">
        <f>5722.2+133.9-5743.2</f>
        <v>112.89999999999964</v>
      </c>
      <c r="L74" s="18">
        <f>6000+190.4+42.1-130-77.1-254-66.2-57.7-106.4</f>
        <v>5541.1</v>
      </c>
      <c r="M74" s="18">
        <v>0</v>
      </c>
      <c r="N74" s="18">
        <v>0</v>
      </c>
      <c r="O74" s="20" t="s">
        <v>39</v>
      </c>
      <c r="P74" s="20" t="s">
        <v>30</v>
      </c>
      <c r="Q74" s="13"/>
      <c r="R74" s="136"/>
      <c r="S74" s="136"/>
      <c r="T74" s="136"/>
      <c r="U74" s="136"/>
      <c r="V74" s="136"/>
    </row>
    <row r="75" spans="1:22" s="11" customFormat="1" ht="24" x14ac:dyDescent="0.2">
      <c r="A75" s="153" t="s">
        <v>108</v>
      </c>
      <c r="B75" s="117" t="s">
        <v>129</v>
      </c>
      <c r="C75" s="69" t="s">
        <v>105</v>
      </c>
      <c r="D75" s="109" t="s">
        <v>97</v>
      </c>
      <c r="E75" s="70">
        <f>E76</f>
        <v>448963.6</v>
      </c>
      <c r="F75" s="72">
        <f>F76</f>
        <v>28783.399999999998</v>
      </c>
      <c r="G75" s="72">
        <f t="shared" ref="G75:N75" si="55">G76</f>
        <v>32776.9</v>
      </c>
      <c r="H75" s="72">
        <f t="shared" si="55"/>
        <v>42701.4</v>
      </c>
      <c r="I75" s="72">
        <f t="shared" si="55"/>
        <v>43589.3</v>
      </c>
      <c r="J75" s="72">
        <f t="shared" si="55"/>
        <v>45246.9</v>
      </c>
      <c r="K75" s="72">
        <f t="shared" si="55"/>
        <v>49126</v>
      </c>
      <c r="L75" s="72">
        <f t="shared" si="55"/>
        <v>71360.100000000006</v>
      </c>
      <c r="M75" s="72">
        <f t="shared" si="55"/>
        <v>76619.8</v>
      </c>
      <c r="N75" s="72">
        <f t="shared" si="55"/>
        <v>58759.8</v>
      </c>
      <c r="O75" s="74"/>
      <c r="P75" s="68"/>
      <c r="Q75" s="13"/>
      <c r="R75" s="67"/>
      <c r="S75" s="67"/>
      <c r="T75" s="67"/>
      <c r="U75" s="67"/>
      <c r="V75" s="67"/>
    </row>
    <row r="76" spans="1:22" s="11" customFormat="1" ht="24" x14ac:dyDescent="0.2">
      <c r="A76" s="154"/>
      <c r="B76" s="118"/>
      <c r="C76" s="69" t="s">
        <v>19</v>
      </c>
      <c r="D76" s="111"/>
      <c r="E76" s="70">
        <f>SUM(F76:N76)</f>
        <v>448963.6</v>
      </c>
      <c r="F76" s="73">
        <f>SUM(F77:F79)</f>
        <v>28783.399999999998</v>
      </c>
      <c r="G76" s="73">
        <f t="shared" ref="G76:N76" si="56">SUM(G77:G79)</f>
        <v>32776.9</v>
      </c>
      <c r="H76" s="73">
        <f t="shared" si="56"/>
        <v>42701.4</v>
      </c>
      <c r="I76" s="73">
        <f t="shared" si="56"/>
        <v>43589.3</v>
      </c>
      <c r="J76" s="73">
        <f t="shared" si="56"/>
        <v>45246.9</v>
      </c>
      <c r="K76" s="73">
        <f t="shared" si="56"/>
        <v>49126</v>
      </c>
      <c r="L76" s="73">
        <f t="shared" si="56"/>
        <v>71360.100000000006</v>
      </c>
      <c r="M76" s="73">
        <f t="shared" ref="M76" si="57">SUM(M77:M79)</f>
        <v>76619.8</v>
      </c>
      <c r="N76" s="73">
        <f t="shared" si="56"/>
        <v>58759.8</v>
      </c>
      <c r="O76" s="74"/>
      <c r="P76" s="68"/>
      <c r="Q76" s="13"/>
      <c r="R76" s="67"/>
      <c r="S76" s="67"/>
      <c r="T76" s="67"/>
      <c r="U76" s="67"/>
      <c r="V76" s="67"/>
    </row>
    <row r="77" spans="1:22" ht="73.5" customHeight="1" x14ac:dyDescent="0.2">
      <c r="A77" s="35" t="s">
        <v>135</v>
      </c>
      <c r="B77" s="24" t="s">
        <v>58</v>
      </c>
      <c r="C77" s="14" t="s">
        <v>18</v>
      </c>
      <c r="D77" s="31" t="s">
        <v>97</v>
      </c>
      <c r="E77" s="36">
        <f>SUM(F77:N77)</f>
        <v>437540.8</v>
      </c>
      <c r="F77" s="17">
        <v>27939.599999999999</v>
      </c>
      <c r="G77" s="18">
        <v>31946.6</v>
      </c>
      <c r="H77" s="18">
        <f>30958.2+6976.3+3793</f>
        <v>41727.5</v>
      </c>
      <c r="I77" s="37">
        <f>32506.1+9766.9+293.9</f>
        <v>42566.9</v>
      </c>
      <c r="J77" s="37">
        <f>43451.3+909.5</f>
        <v>44360.800000000003</v>
      </c>
      <c r="K77" s="37">
        <v>48000</v>
      </c>
      <c r="L77" s="37">
        <f>20000+45000+807.5+3812.3</f>
        <v>69619.8</v>
      </c>
      <c r="M77" s="37">
        <v>74619.8</v>
      </c>
      <c r="N77" s="37">
        <v>56759.8</v>
      </c>
      <c r="O77" s="29" t="s">
        <v>39</v>
      </c>
      <c r="P77" s="24" t="s">
        <v>47</v>
      </c>
      <c r="Q77" s="13"/>
    </row>
    <row r="78" spans="1:22" ht="48" x14ac:dyDescent="0.2">
      <c r="A78" s="14" t="s">
        <v>12</v>
      </c>
      <c r="B78" s="24" t="s">
        <v>35</v>
      </c>
      <c r="C78" s="14" t="s">
        <v>18</v>
      </c>
      <c r="D78" s="31" t="s">
        <v>97</v>
      </c>
      <c r="E78" s="36">
        <f t="shared" ref="E78:E79" si="58">SUM(F78:N78)</f>
        <v>11369.8</v>
      </c>
      <c r="F78" s="17">
        <v>790.8</v>
      </c>
      <c r="G78" s="18">
        <v>830.3</v>
      </c>
      <c r="H78" s="18">
        <v>973.9</v>
      </c>
      <c r="I78" s="18">
        <v>1022.4</v>
      </c>
      <c r="J78" s="18">
        <f>1063.3-177.2</f>
        <v>886.09999999999991</v>
      </c>
      <c r="K78" s="18">
        <f>1104.8+200-354.8+355.4+20.6-200</f>
        <v>1126</v>
      </c>
      <c r="L78" s="18">
        <f>1160+1500+350-650-139.7-420+120-180</f>
        <v>1740.3000000000002</v>
      </c>
      <c r="M78" s="18">
        <v>2000</v>
      </c>
      <c r="N78" s="18">
        <v>2000</v>
      </c>
      <c r="O78" s="20" t="s">
        <v>39</v>
      </c>
      <c r="P78" s="24" t="s">
        <v>20</v>
      </c>
      <c r="Q78" s="13"/>
    </row>
    <row r="79" spans="1:22" ht="36" x14ac:dyDescent="0.2">
      <c r="A79" s="14" t="s">
        <v>13</v>
      </c>
      <c r="B79" s="24" t="s">
        <v>63</v>
      </c>
      <c r="C79" s="14" t="s">
        <v>18</v>
      </c>
      <c r="D79" s="31">
        <v>2017</v>
      </c>
      <c r="E79" s="36">
        <f t="shared" si="58"/>
        <v>53</v>
      </c>
      <c r="F79" s="17">
        <v>53</v>
      </c>
      <c r="G79" s="18">
        <v>0</v>
      </c>
      <c r="H79" s="18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29" t="s">
        <v>39</v>
      </c>
      <c r="P79" s="24" t="s">
        <v>64</v>
      </c>
      <c r="Q79" s="13"/>
    </row>
    <row r="80" spans="1:22" ht="24" x14ac:dyDescent="0.2">
      <c r="A80" s="109" t="s">
        <v>110</v>
      </c>
      <c r="B80" s="117" t="s">
        <v>123</v>
      </c>
      <c r="C80" s="69" t="s">
        <v>105</v>
      </c>
      <c r="D80" s="109" t="s">
        <v>97</v>
      </c>
      <c r="E80" s="75">
        <f>SUM(F80:N80)</f>
        <v>116521.5</v>
      </c>
      <c r="F80" s="72">
        <f>SUM(F81)</f>
        <v>8916.7000000000007</v>
      </c>
      <c r="G80" s="72">
        <f t="shared" ref="G80:N80" si="59">SUM(G81)</f>
        <v>9183.5999999999985</v>
      </c>
      <c r="H80" s="72">
        <f t="shared" si="59"/>
        <v>15783.9</v>
      </c>
      <c r="I80" s="72">
        <f t="shared" si="59"/>
        <v>12217.199999999999</v>
      </c>
      <c r="J80" s="72">
        <f t="shared" si="59"/>
        <v>13849.5</v>
      </c>
      <c r="K80" s="72">
        <f t="shared" si="59"/>
        <v>13770.5</v>
      </c>
      <c r="L80" s="72">
        <f t="shared" si="59"/>
        <v>14478.999999999998</v>
      </c>
      <c r="M80" s="72">
        <f t="shared" si="59"/>
        <v>13890.6</v>
      </c>
      <c r="N80" s="72">
        <f t="shared" si="59"/>
        <v>14430.5</v>
      </c>
      <c r="O80" s="109"/>
      <c r="P80" s="117"/>
      <c r="Q80" s="13"/>
    </row>
    <row r="81" spans="1:17" ht="24" x14ac:dyDescent="0.2">
      <c r="A81" s="111"/>
      <c r="B81" s="118"/>
      <c r="C81" s="69" t="s">
        <v>18</v>
      </c>
      <c r="D81" s="111"/>
      <c r="E81" s="75">
        <f>SUM(F81:N81)</f>
        <v>116521.5</v>
      </c>
      <c r="F81" s="76">
        <f>SUM(F82:F86)</f>
        <v>8916.7000000000007</v>
      </c>
      <c r="G81" s="76">
        <f t="shared" ref="G81:N81" si="60">SUM(G82:G86)</f>
        <v>9183.5999999999985</v>
      </c>
      <c r="H81" s="76">
        <f t="shared" si="60"/>
        <v>15783.9</v>
      </c>
      <c r="I81" s="76">
        <f t="shared" si="60"/>
        <v>12217.199999999999</v>
      </c>
      <c r="J81" s="76">
        <f t="shared" si="60"/>
        <v>13849.5</v>
      </c>
      <c r="K81" s="76">
        <f t="shared" si="60"/>
        <v>13770.5</v>
      </c>
      <c r="L81" s="76">
        <f t="shared" si="60"/>
        <v>14478.999999999998</v>
      </c>
      <c r="M81" s="76">
        <f t="shared" ref="M81" si="61">SUM(M82:M86)</f>
        <v>13890.6</v>
      </c>
      <c r="N81" s="76">
        <f t="shared" si="60"/>
        <v>14430.5</v>
      </c>
      <c r="O81" s="111"/>
      <c r="P81" s="118"/>
      <c r="Q81" s="13"/>
    </row>
    <row r="82" spans="1:17" s="11" customFormat="1" ht="44.25" customHeight="1" x14ac:dyDescent="0.2">
      <c r="A82" s="23" t="s">
        <v>32</v>
      </c>
      <c r="B82" s="24" t="s">
        <v>33</v>
      </c>
      <c r="C82" s="14" t="s">
        <v>18</v>
      </c>
      <c r="D82" s="31" t="s">
        <v>97</v>
      </c>
      <c r="E82" s="36">
        <f>SUM(F82:N82)</f>
        <v>97290.4</v>
      </c>
      <c r="F82" s="17">
        <v>7511.7</v>
      </c>
      <c r="G82" s="18">
        <f>6302.7+1600+96.4</f>
        <v>7999.0999999999995</v>
      </c>
      <c r="H82" s="18">
        <v>9832.2999999999993</v>
      </c>
      <c r="I82" s="37">
        <f>7313.5+3566.9</f>
        <v>10880.4</v>
      </c>
      <c r="J82" s="37">
        <f>11498-120.1</f>
        <v>11377.9</v>
      </c>
      <c r="K82" s="37">
        <f>11729.3-20.4+69.1</f>
        <v>11778</v>
      </c>
      <c r="L82" s="37">
        <f>12198.5+1700-133.2-1010-257.2-8-64.1+112.2</f>
        <v>12538.199999999999</v>
      </c>
      <c r="M82" s="37">
        <v>12686.4</v>
      </c>
      <c r="N82" s="37">
        <v>12686.4</v>
      </c>
      <c r="O82" s="29" t="s">
        <v>39</v>
      </c>
      <c r="P82" s="24" t="s">
        <v>21</v>
      </c>
      <c r="Q82" s="13"/>
    </row>
    <row r="83" spans="1:17" ht="96" x14ac:dyDescent="0.2">
      <c r="A83" s="14" t="s">
        <v>40</v>
      </c>
      <c r="B83" s="24" t="s">
        <v>34</v>
      </c>
      <c r="C83" s="14" t="s">
        <v>18</v>
      </c>
      <c r="D83" s="31">
        <v>2017</v>
      </c>
      <c r="E83" s="36">
        <f t="shared" ref="E83:E86" si="62">SUM(F83:N83)</f>
        <v>315</v>
      </c>
      <c r="F83" s="17">
        <v>315</v>
      </c>
      <c r="G83" s="18">
        <v>0</v>
      </c>
      <c r="H83" s="18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29" t="s">
        <v>39</v>
      </c>
      <c r="P83" s="24" t="s">
        <v>22</v>
      </c>
      <c r="Q83" s="13"/>
    </row>
    <row r="84" spans="1:17" ht="48" x14ac:dyDescent="0.2">
      <c r="A84" s="14" t="s">
        <v>112</v>
      </c>
      <c r="B84" s="24" t="s">
        <v>36</v>
      </c>
      <c r="C84" s="14" t="s">
        <v>18</v>
      </c>
      <c r="D84" s="31" t="s">
        <v>97</v>
      </c>
      <c r="E84" s="36">
        <f t="shared" si="62"/>
        <v>12276.500000000002</v>
      </c>
      <c r="F84" s="17">
        <v>1090</v>
      </c>
      <c r="G84" s="18">
        <v>1144.5</v>
      </c>
      <c r="H84" s="18">
        <v>1045.5</v>
      </c>
      <c r="I84" s="18">
        <v>1261.8</v>
      </c>
      <c r="J84" s="18">
        <f>1324.9-7.1-6.7</f>
        <v>1311.1000000000001</v>
      </c>
      <c r="K84" s="18">
        <f>1391.1+476.4</f>
        <v>1867.5</v>
      </c>
      <c r="L84" s="18">
        <f>1446.8+763.4-325.4</f>
        <v>1884.7999999999997</v>
      </c>
      <c r="M84" s="18">
        <v>1069.0999999999999</v>
      </c>
      <c r="N84" s="18">
        <v>1602.2</v>
      </c>
      <c r="O84" s="20" t="s">
        <v>39</v>
      </c>
      <c r="P84" s="24" t="s">
        <v>49</v>
      </c>
      <c r="Q84" s="13"/>
    </row>
    <row r="85" spans="1:17" ht="48" x14ac:dyDescent="0.2">
      <c r="A85" s="34" t="s">
        <v>113</v>
      </c>
      <c r="B85" s="33" t="s">
        <v>70</v>
      </c>
      <c r="C85" s="14" t="s">
        <v>18</v>
      </c>
      <c r="D85" s="31" t="s">
        <v>107</v>
      </c>
      <c r="E85" s="36">
        <f t="shared" si="62"/>
        <v>697</v>
      </c>
      <c r="F85" s="32">
        <v>0</v>
      </c>
      <c r="G85" s="21">
        <v>40</v>
      </c>
      <c r="H85" s="21">
        <v>50</v>
      </c>
      <c r="I85" s="21">
        <v>75</v>
      </c>
      <c r="J85" s="21">
        <f>78-4</f>
        <v>74</v>
      </c>
      <c r="K85" s="21">
        <v>125</v>
      </c>
      <c r="L85" s="21">
        <f>129.9+38.2-112.1</f>
        <v>56.000000000000028</v>
      </c>
      <c r="M85" s="21">
        <v>135.1</v>
      </c>
      <c r="N85" s="21">
        <v>141.9</v>
      </c>
      <c r="O85" s="20" t="s">
        <v>39</v>
      </c>
      <c r="P85" s="38" t="s">
        <v>71</v>
      </c>
      <c r="Q85" s="13"/>
    </row>
    <row r="86" spans="1:17" ht="96" x14ac:dyDescent="0.2">
      <c r="A86" s="66" t="s">
        <v>172</v>
      </c>
      <c r="B86" s="24" t="s">
        <v>81</v>
      </c>
      <c r="C86" s="14" t="s">
        <v>18</v>
      </c>
      <c r="D86" s="14" t="s">
        <v>152</v>
      </c>
      <c r="E86" s="36">
        <f t="shared" si="62"/>
        <v>5942.6</v>
      </c>
      <c r="F86" s="18">
        <v>0</v>
      </c>
      <c r="G86" s="18">
        <v>0</v>
      </c>
      <c r="H86" s="18">
        <v>4856.1000000000004</v>
      </c>
      <c r="I86" s="18">
        <v>0</v>
      </c>
      <c r="J86" s="18">
        <v>1086.5</v>
      </c>
      <c r="K86" s="18">
        <v>0</v>
      </c>
      <c r="L86" s="18">
        <v>0</v>
      </c>
      <c r="M86" s="18">
        <v>0</v>
      </c>
      <c r="N86" s="18">
        <v>0</v>
      </c>
      <c r="O86" s="20" t="s">
        <v>39</v>
      </c>
      <c r="P86" s="24" t="s">
        <v>22</v>
      </c>
      <c r="Q86" s="13"/>
    </row>
    <row r="87" spans="1:17" ht="24" x14ac:dyDescent="0.2">
      <c r="A87" s="149" t="s">
        <v>131</v>
      </c>
      <c r="B87" s="151" t="s">
        <v>109</v>
      </c>
      <c r="C87" s="69" t="s">
        <v>105</v>
      </c>
      <c r="D87" s="109" t="s">
        <v>97</v>
      </c>
      <c r="E87" s="75">
        <f>SUM(F87:N87)</f>
        <v>185165.9</v>
      </c>
      <c r="F87" s="72">
        <f>SUM(F88)</f>
        <v>11212.4</v>
      </c>
      <c r="G87" s="72">
        <f t="shared" ref="G87" si="63">SUM(G88)</f>
        <v>12136.1</v>
      </c>
      <c r="H87" s="72">
        <f t="shared" ref="H87" si="64">SUM(H88)</f>
        <v>13467.999999999998</v>
      </c>
      <c r="I87" s="72">
        <f t="shared" ref="I87" si="65">SUM(I88)</f>
        <v>22106.7</v>
      </c>
      <c r="J87" s="72">
        <f t="shared" ref="J87" si="66">SUM(J88)</f>
        <v>16338.6</v>
      </c>
      <c r="K87" s="72">
        <f t="shared" ref="K87" si="67">SUM(K88)</f>
        <v>19962.8</v>
      </c>
      <c r="L87" s="72">
        <f t="shared" ref="L87" si="68">SUM(L88)</f>
        <v>28043.399999999998</v>
      </c>
      <c r="M87" s="72">
        <f t="shared" ref="M87:N87" si="69">SUM(M88)</f>
        <v>30459.9</v>
      </c>
      <c r="N87" s="72">
        <f t="shared" si="69"/>
        <v>31438</v>
      </c>
      <c r="O87" s="149"/>
      <c r="P87" s="151"/>
      <c r="Q87" s="13"/>
    </row>
    <row r="88" spans="1:17" ht="24" x14ac:dyDescent="0.2">
      <c r="A88" s="150"/>
      <c r="B88" s="152"/>
      <c r="C88" s="69" t="s">
        <v>18</v>
      </c>
      <c r="D88" s="111"/>
      <c r="E88" s="75">
        <f>SUM(F88:N88)</f>
        <v>185165.9</v>
      </c>
      <c r="F88" s="76">
        <f t="shared" ref="F88:N88" si="70">SUM(F89:F92)</f>
        <v>11212.4</v>
      </c>
      <c r="G88" s="76">
        <f t="shared" si="70"/>
        <v>12136.1</v>
      </c>
      <c r="H88" s="76">
        <f t="shared" si="70"/>
        <v>13467.999999999998</v>
      </c>
      <c r="I88" s="76">
        <f t="shared" si="70"/>
        <v>22106.7</v>
      </c>
      <c r="J88" s="76">
        <f t="shared" si="70"/>
        <v>16338.6</v>
      </c>
      <c r="K88" s="76">
        <f t="shared" si="70"/>
        <v>19962.8</v>
      </c>
      <c r="L88" s="76">
        <f t="shared" si="70"/>
        <v>28043.399999999998</v>
      </c>
      <c r="M88" s="76">
        <f t="shared" ref="M88" si="71">SUM(M89:M92)</f>
        <v>30459.9</v>
      </c>
      <c r="N88" s="76">
        <f t="shared" si="70"/>
        <v>31438</v>
      </c>
      <c r="O88" s="150"/>
      <c r="P88" s="152"/>
      <c r="Q88" s="13"/>
    </row>
    <row r="89" spans="1:17" ht="60" x14ac:dyDescent="0.2">
      <c r="A89" s="14" t="s">
        <v>73</v>
      </c>
      <c r="B89" s="24" t="s">
        <v>48</v>
      </c>
      <c r="C89" s="39" t="s">
        <v>18</v>
      </c>
      <c r="D89" s="31" t="s">
        <v>97</v>
      </c>
      <c r="E89" s="36">
        <f>SUM(F89:N89)</f>
        <v>182769.8</v>
      </c>
      <c r="F89" s="17">
        <v>10695.4</v>
      </c>
      <c r="G89" s="18">
        <f>11593.2+5+495</f>
        <v>12093.2</v>
      </c>
      <c r="H89" s="18">
        <f>11262.3+2151.9</f>
        <v>13414.199999999999</v>
      </c>
      <c r="I89" s="37">
        <f>11825.4+4431.6+5750+59.9</f>
        <v>22066.9</v>
      </c>
      <c r="J89" s="37">
        <v>16302.2</v>
      </c>
      <c r="K89" s="37">
        <f>17566.4+2099+349.8-413.9</f>
        <v>19601.3</v>
      </c>
      <c r="L89" s="37">
        <f>5131.6+14668.4+2800+2400+2600-442.8-564.3-149-169.9+1300+66.2-54.7+11.1</f>
        <v>27596.6</v>
      </c>
      <c r="M89" s="37">
        <v>30000</v>
      </c>
      <c r="N89" s="37">
        <f>28600+2400</f>
        <v>31000</v>
      </c>
      <c r="O89" s="29" t="s">
        <v>77</v>
      </c>
      <c r="P89" s="24" t="s">
        <v>23</v>
      </c>
      <c r="Q89" s="13"/>
    </row>
    <row r="90" spans="1:17" ht="48" x14ac:dyDescent="0.2">
      <c r="A90" s="14" t="s">
        <v>76</v>
      </c>
      <c r="B90" s="24" t="s">
        <v>50</v>
      </c>
      <c r="C90" s="14" t="s">
        <v>18</v>
      </c>
      <c r="D90" s="31">
        <v>2017</v>
      </c>
      <c r="E90" s="36">
        <f t="shared" ref="E90:E92" si="72">SUM(F90:N90)</f>
        <v>500</v>
      </c>
      <c r="F90" s="17">
        <v>500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37">
        <v>0</v>
      </c>
      <c r="M90" s="37">
        <v>0</v>
      </c>
      <c r="N90" s="37">
        <v>0</v>
      </c>
      <c r="O90" s="29" t="s">
        <v>39</v>
      </c>
      <c r="P90" s="20" t="s">
        <v>28</v>
      </c>
      <c r="Q90" s="13"/>
    </row>
    <row r="91" spans="1:17" ht="48" x14ac:dyDescent="0.2">
      <c r="A91" s="14" t="s">
        <v>132</v>
      </c>
      <c r="B91" s="24" t="s">
        <v>24</v>
      </c>
      <c r="C91" s="14" t="s">
        <v>18</v>
      </c>
      <c r="D91" s="31" t="s">
        <v>119</v>
      </c>
      <c r="E91" s="36">
        <f t="shared" si="72"/>
        <v>1556.5</v>
      </c>
      <c r="F91" s="17">
        <v>5</v>
      </c>
      <c r="G91" s="18">
        <f>17.9-5</f>
        <v>12.899999999999999</v>
      </c>
      <c r="H91" s="18">
        <v>18.8</v>
      </c>
      <c r="I91" s="37">
        <f>19.8-15</f>
        <v>4.8000000000000007</v>
      </c>
      <c r="J91" s="37">
        <v>0</v>
      </c>
      <c r="K91" s="37">
        <v>314</v>
      </c>
      <c r="L91" s="37">
        <f>384+24.5</f>
        <v>408.5</v>
      </c>
      <c r="M91" s="37">
        <f>384+24.5</f>
        <v>408.5</v>
      </c>
      <c r="N91" s="37">
        <v>384</v>
      </c>
      <c r="O91" s="29" t="s">
        <v>156</v>
      </c>
      <c r="P91" s="24" t="s">
        <v>25</v>
      </c>
      <c r="Q91" s="13"/>
    </row>
    <row r="92" spans="1:17" s="12" customFormat="1" ht="129" customHeight="1" x14ac:dyDescent="0.2">
      <c r="A92" s="23" t="s">
        <v>133</v>
      </c>
      <c r="B92" s="24" t="s">
        <v>67</v>
      </c>
      <c r="C92" s="14" t="s">
        <v>18</v>
      </c>
      <c r="D92" s="31" t="s">
        <v>153</v>
      </c>
      <c r="E92" s="36">
        <f t="shared" si="72"/>
        <v>339.59999999999997</v>
      </c>
      <c r="F92" s="17">
        <v>12</v>
      </c>
      <c r="G92" s="18">
        <v>30</v>
      </c>
      <c r="H92" s="18">
        <v>35</v>
      </c>
      <c r="I92" s="37">
        <v>35</v>
      </c>
      <c r="J92" s="37">
        <v>36.4</v>
      </c>
      <c r="K92" s="37">
        <v>47.5</v>
      </c>
      <c r="L92" s="37">
        <f>49.4-11.1</f>
        <v>38.299999999999997</v>
      </c>
      <c r="M92" s="37">
        <v>51.4</v>
      </c>
      <c r="N92" s="37">
        <v>54</v>
      </c>
      <c r="O92" s="29" t="s">
        <v>39</v>
      </c>
      <c r="P92" s="24" t="s">
        <v>66</v>
      </c>
      <c r="Q92" s="40"/>
    </row>
    <row r="93" spans="1:17" s="12" customFormat="1" ht="37.5" customHeight="1" x14ac:dyDescent="0.2">
      <c r="A93" s="109" t="s">
        <v>117</v>
      </c>
      <c r="B93" s="117" t="s">
        <v>111</v>
      </c>
      <c r="C93" s="69" t="s">
        <v>105</v>
      </c>
      <c r="D93" s="109" t="s">
        <v>97</v>
      </c>
      <c r="E93" s="75">
        <f>SUM(F93:N93)</f>
        <v>24758.699999999997</v>
      </c>
      <c r="F93" s="72">
        <f>SUM(F94)</f>
        <v>3306.6</v>
      </c>
      <c r="G93" s="72">
        <f t="shared" ref="G93" si="73">SUM(G94)</f>
        <v>2632.4</v>
      </c>
      <c r="H93" s="72">
        <f t="shared" ref="H93" si="74">SUM(H94)</f>
        <v>1894.9</v>
      </c>
      <c r="I93" s="72">
        <f t="shared" ref="I93" si="75">SUM(I94)</f>
        <v>2599.6999999999998</v>
      </c>
      <c r="J93" s="72">
        <f t="shared" ref="J93" si="76">SUM(J94)</f>
        <v>2907.9</v>
      </c>
      <c r="K93" s="72">
        <f t="shared" ref="K93" si="77">SUM(K94)</f>
        <v>2917.4</v>
      </c>
      <c r="L93" s="72">
        <f t="shared" ref="L93" si="78">SUM(L94)</f>
        <v>1757.9</v>
      </c>
      <c r="M93" s="72">
        <f t="shared" ref="M93:N93" si="79">SUM(M94)</f>
        <v>3396.8</v>
      </c>
      <c r="N93" s="72">
        <f t="shared" si="79"/>
        <v>3345.1</v>
      </c>
      <c r="O93" s="109"/>
      <c r="P93" s="117"/>
      <c r="Q93" s="40"/>
    </row>
    <row r="94" spans="1:17" s="12" customFormat="1" ht="41.25" customHeight="1" x14ac:dyDescent="0.2">
      <c r="A94" s="111"/>
      <c r="B94" s="118"/>
      <c r="C94" s="69" t="s">
        <v>18</v>
      </c>
      <c r="D94" s="111"/>
      <c r="E94" s="75">
        <f>SUM(F94:N94)</f>
        <v>24758.699999999997</v>
      </c>
      <c r="F94" s="76">
        <f>SUM(F95:F98)</f>
        <v>3306.6</v>
      </c>
      <c r="G94" s="76">
        <f t="shared" ref="G94:N94" si="80">SUM(G95:G98)</f>
        <v>2632.4</v>
      </c>
      <c r="H94" s="76">
        <f t="shared" si="80"/>
        <v>1894.9</v>
      </c>
      <c r="I94" s="76">
        <f t="shared" si="80"/>
        <v>2599.6999999999998</v>
      </c>
      <c r="J94" s="76">
        <f t="shared" si="80"/>
        <v>2907.9</v>
      </c>
      <c r="K94" s="76">
        <f t="shared" si="80"/>
        <v>2917.4</v>
      </c>
      <c r="L94" s="76">
        <f t="shared" si="80"/>
        <v>1757.9</v>
      </c>
      <c r="M94" s="76">
        <f t="shared" ref="M94" si="81">SUM(M95:M98)</f>
        <v>3396.8</v>
      </c>
      <c r="N94" s="76">
        <f t="shared" si="80"/>
        <v>3345.1</v>
      </c>
      <c r="O94" s="111"/>
      <c r="P94" s="118"/>
      <c r="Q94" s="40"/>
    </row>
    <row r="95" spans="1:17" ht="48" x14ac:dyDescent="0.2">
      <c r="A95" s="14" t="s">
        <v>118</v>
      </c>
      <c r="B95" s="24" t="s">
        <v>26</v>
      </c>
      <c r="C95" s="14" t="s">
        <v>18</v>
      </c>
      <c r="D95" s="31" t="s">
        <v>120</v>
      </c>
      <c r="E95" s="36">
        <f>SUM(F95:N95)</f>
        <v>615.1</v>
      </c>
      <c r="F95" s="17">
        <v>335.6</v>
      </c>
      <c r="G95" s="18">
        <f>262.5+50-33</f>
        <v>279.5</v>
      </c>
      <c r="H95" s="18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29" t="s">
        <v>39</v>
      </c>
      <c r="P95" s="24" t="s">
        <v>59</v>
      </c>
      <c r="Q95" s="13"/>
    </row>
    <row r="96" spans="1:17" ht="48" x14ac:dyDescent="0.2">
      <c r="A96" s="14" t="s">
        <v>134</v>
      </c>
      <c r="B96" s="24" t="s">
        <v>27</v>
      </c>
      <c r="C96" s="14" t="s">
        <v>18</v>
      </c>
      <c r="D96" s="31" t="s">
        <v>120</v>
      </c>
      <c r="E96" s="36">
        <f t="shared" ref="E96:E98" si="82">SUM(F96:N96)</f>
        <v>2495.5</v>
      </c>
      <c r="F96" s="17">
        <f>2131-3</f>
        <v>2128</v>
      </c>
      <c r="G96" s="18">
        <v>367.5</v>
      </c>
      <c r="H96" s="18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20" t="s">
        <v>39</v>
      </c>
      <c r="P96" s="24" t="s">
        <v>59</v>
      </c>
      <c r="Q96" s="13"/>
    </row>
    <row r="97" spans="1:17" s="12" customFormat="1" ht="51.75" customHeight="1" x14ac:dyDescent="0.2">
      <c r="A97" s="14" t="s">
        <v>173</v>
      </c>
      <c r="B97" s="41" t="s">
        <v>31</v>
      </c>
      <c r="C97" s="14" t="s">
        <v>18</v>
      </c>
      <c r="D97" s="31" t="s">
        <v>120</v>
      </c>
      <c r="E97" s="36">
        <f t="shared" si="82"/>
        <v>2828.4</v>
      </c>
      <c r="F97" s="32">
        <f>840+3</f>
        <v>843</v>
      </c>
      <c r="G97" s="21">
        <f>500+1285.4+200</f>
        <v>1985.4</v>
      </c>
      <c r="H97" s="21">
        <v>0</v>
      </c>
      <c r="I97" s="19">
        <v>0</v>
      </c>
      <c r="J97" s="19">
        <v>0</v>
      </c>
      <c r="K97" s="37">
        <v>0</v>
      </c>
      <c r="L97" s="37">
        <v>0</v>
      </c>
      <c r="M97" s="37">
        <v>0</v>
      </c>
      <c r="N97" s="37">
        <v>0</v>
      </c>
      <c r="O97" s="29" t="s">
        <v>39</v>
      </c>
      <c r="P97" s="24" t="s">
        <v>59</v>
      </c>
      <c r="Q97" s="40"/>
    </row>
    <row r="98" spans="1:17" s="12" customFormat="1" ht="52.5" customHeight="1" x14ac:dyDescent="0.2">
      <c r="A98" s="42" t="s">
        <v>174</v>
      </c>
      <c r="B98" s="43" t="s">
        <v>82</v>
      </c>
      <c r="C98" s="14" t="s">
        <v>18</v>
      </c>
      <c r="D98" s="15" t="s">
        <v>121</v>
      </c>
      <c r="E98" s="36">
        <f t="shared" si="82"/>
        <v>18819.699999999997</v>
      </c>
      <c r="F98" s="32">
        <v>0</v>
      </c>
      <c r="G98" s="21">
        <v>0</v>
      </c>
      <c r="H98" s="21">
        <v>1894.9</v>
      </c>
      <c r="I98" s="19">
        <f>1077.1+1622.8-409+402-93.2</f>
        <v>2599.6999999999998</v>
      </c>
      <c r="J98" s="19">
        <f>1120.2+1687.7+100</f>
        <v>2907.9</v>
      </c>
      <c r="K98" s="37">
        <f>1163.9+1753.5</f>
        <v>2917.4</v>
      </c>
      <c r="L98" s="37">
        <f>1500+1534.1-42.1-1234.1</f>
        <v>1757.9</v>
      </c>
      <c r="M98" s="37">
        <f>1575+1610.8+211</f>
        <v>3396.8</v>
      </c>
      <c r="N98" s="37">
        <v>3345.1</v>
      </c>
      <c r="O98" s="29" t="s">
        <v>39</v>
      </c>
      <c r="P98" s="24" t="s">
        <v>59</v>
      </c>
      <c r="Q98" s="40"/>
    </row>
    <row r="99" spans="1:17" s="12" customFormat="1" ht="24" x14ac:dyDescent="0.2">
      <c r="A99" s="120" t="s">
        <v>157</v>
      </c>
      <c r="B99" s="112" t="s">
        <v>114</v>
      </c>
      <c r="C99" s="69" t="s">
        <v>105</v>
      </c>
      <c r="D99" s="109" t="s">
        <v>97</v>
      </c>
      <c r="E99" s="75">
        <f t="shared" ref="E99:E107" si="83">SUM(F99:N99)</f>
        <v>177503.2</v>
      </c>
      <c r="F99" s="72">
        <f>SUM(F100)</f>
        <v>18529.900000000001</v>
      </c>
      <c r="G99" s="72">
        <f t="shared" ref="G99" si="84">SUM(G100)</f>
        <v>19728.400000000001</v>
      </c>
      <c r="H99" s="72">
        <f t="shared" ref="H99" si="85">SUM(H100)</f>
        <v>19072.3</v>
      </c>
      <c r="I99" s="72">
        <f t="shared" ref="I99" si="86">SUM(I100)</f>
        <v>21400</v>
      </c>
      <c r="J99" s="72">
        <f t="shared" ref="J99" si="87">SUM(J100)</f>
        <v>15250</v>
      </c>
      <c r="K99" s="72">
        <f t="shared" ref="K99" si="88">SUM(K100)</f>
        <v>16043.3</v>
      </c>
      <c r="L99" s="72">
        <f t="shared" ref="L99" si="89">SUM(L100)</f>
        <v>24279.3</v>
      </c>
      <c r="M99" s="72">
        <f t="shared" ref="M99:N99" si="90">SUM(M100)</f>
        <v>21500</v>
      </c>
      <c r="N99" s="72">
        <f t="shared" si="90"/>
        <v>21700</v>
      </c>
      <c r="O99" s="109"/>
      <c r="P99" s="117"/>
      <c r="Q99" s="40"/>
    </row>
    <row r="100" spans="1:17" s="12" customFormat="1" ht="24" x14ac:dyDescent="0.2">
      <c r="A100" s="121"/>
      <c r="B100" s="112"/>
      <c r="C100" s="69" t="s">
        <v>18</v>
      </c>
      <c r="D100" s="111"/>
      <c r="E100" s="75">
        <f t="shared" si="83"/>
        <v>177503.2</v>
      </c>
      <c r="F100" s="76">
        <f>SUM(F101:F102)</f>
        <v>18529.900000000001</v>
      </c>
      <c r="G100" s="76">
        <f t="shared" ref="G100:N100" si="91">SUM(G101:G102)</f>
        <v>19728.400000000001</v>
      </c>
      <c r="H100" s="76">
        <f t="shared" si="91"/>
        <v>19072.3</v>
      </c>
      <c r="I100" s="76">
        <f t="shared" si="91"/>
        <v>21400</v>
      </c>
      <c r="J100" s="76">
        <f t="shared" si="91"/>
        <v>15250</v>
      </c>
      <c r="K100" s="76">
        <f t="shared" si="91"/>
        <v>16043.3</v>
      </c>
      <c r="L100" s="76">
        <f t="shared" si="91"/>
        <v>24279.3</v>
      </c>
      <c r="M100" s="76">
        <f t="shared" ref="M100" si="92">SUM(M101:M102)</f>
        <v>21500</v>
      </c>
      <c r="N100" s="76">
        <f t="shared" si="91"/>
        <v>21700</v>
      </c>
      <c r="O100" s="111"/>
      <c r="P100" s="118"/>
      <c r="Q100" s="40"/>
    </row>
    <row r="101" spans="1:17" ht="102" customHeight="1" x14ac:dyDescent="0.2">
      <c r="A101" s="14" t="s">
        <v>158</v>
      </c>
      <c r="B101" s="20" t="s">
        <v>60</v>
      </c>
      <c r="C101" s="14" t="s">
        <v>19</v>
      </c>
      <c r="D101" s="31" t="s">
        <v>122</v>
      </c>
      <c r="E101" s="16">
        <f t="shared" si="83"/>
        <v>57759.1</v>
      </c>
      <c r="F101" s="26">
        <v>5970</v>
      </c>
      <c r="G101" s="27">
        <v>6368.5</v>
      </c>
      <c r="H101" s="27">
        <v>7072.3</v>
      </c>
      <c r="I101" s="28">
        <f>6911+589+600</f>
        <v>8100</v>
      </c>
      <c r="J101" s="28">
        <f>7800-3550</f>
        <v>4250</v>
      </c>
      <c r="K101" s="28">
        <f>7100-314-842.7-1900</f>
        <v>4043.3</v>
      </c>
      <c r="L101" s="28">
        <f>7455</f>
        <v>7455</v>
      </c>
      <c r="M101" s="28">
        <f>6000+1500</f>
        <v>7500</v>
      </c>
      <c r="N101" s="28">
        <v>7000</v>
      </c>
      <c r="O101" s="29" t="s">
        <v>39</v>
      </c>
      <c r="P101" s="20" t="s">
        <v>115</v>
      </c>
      <c r="Q101" s="13"/>
    </row>
    <row r="102" spans="1:17" ht="103.5" customHeight="1" x14ac:dyDescent="0.2">
      <c r="A102" s="14" t="s">
        <v>175</v>
      </c>
      <c r="B102" s="20" t="s">
        <v>41</v>
      </c>
      <c r="C102" s="14" t="s">
        <v>19</v>
      </c>
      <c r="D102" s="31" t="s">
        <v>122</v>
      </c>
      <c r="E102" s="16">
        <f t="shared" si="83"/>
        <v>119744.1</v>
      </c>
      <c r="F102" s="26">
        <v>12559.9</v>
      </c>
      <c r="G102" s="27">
        <f>13359.9</f>
        <v>13359.9</v>
      </c>
      <c r="H102" s="27">
        <v>12000</v>
      </c>
      <c r="I102" s="27">
        <f>11000+2300</f>
        <v>13300</v>
      </c>
      <c r="J102" s="27">
        <v>11000</v>
      </c>
      <c r="K102" s="27">
        <v>12000</v>
      </c>
      <c r="L102" s="27">
        <f>12480-65+1892.5+2516.8</f>
        <v>16824.3</v>
      </c>
      <c r="M102" s="27">
        <f>12979.2+1020.8</f>
        <v>14000</v>
      </c>
      <c r="N102" s="27">
        <v>14700</v>
      </c>
      <c r="O102" s="20" t="s">
        <v>39</v>
      </c>
      <c r="P102" s="20" t="s">
        <v>115</v>
      </c>
      <c r="Q102" s="13"/>
    </row>
    <row r="103" spans="1:17" ht="30" customHeight="1" x14ac:dyDescent="0.2">
      <c r="A103" s="109" t="s">
        <v>176</v>
      </c>
      <c r="B103" s="117" t="s">
        <v>159</v>
      </c>
      <c r="C103" s="69" t="s">
        <v>105</v>
      </c>
      <c r="D103" s="109" t="s">
        <v>160</v>
      </c>
      <c r="E103" s="70">
        <f t="shared" si="83"/>
        <v>182623.7</v>
      </c>
      <c r="F103" s="92">
        <f>F104</f>
        <v>0</v>
      </c>
      <c r="G103" s="92">
        <f t="shared" ref="G103:N103" si="93">G104</f>
        <v>0</v>
      </c>
      <c r="H103" s="92">
        <f t="shared" si="93"/>
        <v>0</v>
      </c>
      <c r="I103" s="92">
        <f t="shared" si="93"/>
        <v>0</v>
      </c>
      <c r="J103" s="92">
        <f t="shared" si="93"/>
        <v>0</v>
      </c>
      <c r="K103" s="92">
        <f t="shared" si="93"/>
        <v>0</v>
      </c>
      <c r="L103" s="92">
        <f t="shared" si="93"/>
        <v>56896</v>
      </c>
      <c r="M103" s="92">
        <f t="shared" si="93"/>
        <v>62701.8</v>
      </c>
      <c r="N103" s="92">
        <f t="shared" si="93"/>
        <v>63025.9</v>
      </c>
      <c r="O103" s="88"/>
      <c r="P103" s="88"/>
      <c r="Q103" s="13"/>
    </row>
    <row r="104" spans="1:17" ht="30" customHeight="1" x14ac:dyDescent="0.2">
      <c r="A104" s="111"/>
      <c r="B104" s="118"/>
      <c r="C104" s="69" t="s">
        <v>18</v>
      </c>
      <c r="D104" s="111"/>
      <c r="E104" s="70">
        <f t="shared" si="83"/>
        <v>182623.7</v>
      </c>
      <c r="F104" s="91">
        <f>F105</f>
        <v>0</v>
      </c>
      <c r="G104" s="91">
        <f t="shared" ref="G104:N104" si="94">G105</f>
        <v>0</v>
      </c>
      <c r="H104" s="91">
        <f t="shared" si="94"/>
        <v>0</v>
      </c>
      <c r="I104" s="91">
        <f t="shared" si="94"/>
        <v>0</v>
      </c>
      <c r="J104" s="91">
        <f t="shared" si="94"/>
        <v>0</v>
      </c>
      <c r="K104" s="91">
        <f t="shared" si="94"/>
        <v>0</v>
      </c>
      <c r="L104" s="91">
        <f t="shared" si="94"/>
        <v>56896</v>
      </c>
      <c r="M104" s="91">
        <f t="shared" si="94"/>
        <v>62701.8</v>
      </c>
      <c r="N104" s="91">
        <f t="shared" si="94"/>
        <v>63025.9</v>
      </c>
      <c r="O104" s="88"/>
      <c r="P104" s="88"/>
      <c r="Q104" s="13"/>
    </row>
    <row r="105" spans="1:17" ht="104.25" customHeight="1" x14ac:dyDescent="0.2">
      <c r="A105" s="39" t="s">
        <v>177</v>
      </c>
      <c r="B105" s="89" t="s">
        <v>162</v>
      </c>
      <c r="C105" s="14" t="s">
        <v>19</v>
      </c>
      <c r="D105" s="90" t="s">
        <v>160</v>
      </c>
      <c r="E105" s="16">
        <f>SUM(F105:N105)</f>
        <v>182623.7</v>
      </c>
      <c r="F105" s="26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f>58023.2-572.2-175-150-230</f>
        <v>56896</v>
      </c>
      <c r="M105" s="27">
        <v>62701.8</v>
      </c>
      <c r="N105" s="27">
        <v>63025.9</v>
      </c>
      <c r="O105" s="20" t="s">
        <v>39</v>
      </c>
      <c r="P105" s="54" t="s">
        <v>161</v>
      </c>
      <c r="Q105" s="13"/>
    </row>
    <row r="106" spans="1:17" ht="24" x14ac:dyDescent="0.2">
      <c r="A106" s="81"/>
      <c r="B106" s="82" t="s">
        <v>138</v>
      </c>
      <c r="C106" s="81"/>
      <c r="D106" s="83"/>
      <c r="E106" s="44">
        <f t="shared" si="83"/>
        <v>1662433.0000000002</v>
      </c>
      <c r="F106" s="44">
        <f>SUM(F107:F109)</f>
        <v>127932.09999999998</v>
      </c>
      <c r="G106" s="44">
        <f t="shared" ref="G106:N106" si="95">SUM(G107:G109)</f>
        <v>161579.70000000001</v>
      </c>
      <c r="H106" s="44">
        <f t="shared" si="95"/>
        <v>184715.8</v>
      </c>
      <c r="I106" s="44">
        <f t="shared" si="95"/>
        <v>164674.40000000002</v>
      </c>
      <c r="J106" s="44">
        <f t="shared" si="95"/>
        <v>149760.5</v>
      </c>
      <c r="K106" s="44">
        <f t="shared" si="95"/>
        <v>152658.70000000001</v>
      </c>
      <c r="L106" s="44">
        <f t="shared" si="95"/>
        <v>254240.1</v>
      </c>
      <c r="M106" s="44">
        <f t="shared" ref="M106" si="96">SUM(M107:M109)</f>
        <v>247217.10000000003</v>
      </c>
      <c r="N106" s="44">
        <f t="shared" si="95"/>
        <v>219654.6</v>
      </c>
      <c r="O106" s="80"/>
      <c r="P106" s="84"/>
      <c r="Q106" s="13"/>
    </row>
    <row r="107" spans="1:17" x14ac:dyDescent="0.2">
      <c r="A107" s="81"/>
      <c r="B107" s="82" t="s">
        <v>19</v>
      </c>
      <c r="C107" s="81"/>
      <c r="D107" s="83"/>
      <c r="E107" s="44">
        <f t="shared" si="83"/>
        <v>1502215.6</v>
      </c>
      <c r="F107" s="44">
        <f t="shared" ref="F107:K107" si="97">F40+F49+F64+F76+F81+F88+F94+F100</f>
        <v>114925.79999999999</v>
      </c>
      <c r="G107" s="44">
        <f t="shared" si="97"/>
        <v>142691.70000000001</v>
      </c>
      <c r="H107" s="44">
        <f t="shared" si="97"/>
        <v>155436.69999999998</v>
      </c>
      <c r="I107" s="44">
        <f t="shared" si="97"/>
        <v>137921.20000000001</v>
      </c>
      <c r="J107" s="44">
        <f t="shared" si="97"/>
        <v>123346.2</v>
      </c>
      <c r="K107" s="44">
        <f t="shared" si="97"/>
        <v>134994.6</v>
      </c>
      <c r="L107" s="44">
        <f>L40+L49+L64+L76+L81+L88+L94+L100+L104</f>
        <v>240088.9</v>
      </c>
      <c r="M107" s="44">
        <f>M40+M49+M64+M76+M81+M88+M94+M100+M104</f>
        <v>233155.90000000002</v>
      </c>
      <c r="N107" s="44">
        <f>N40+N49+N64+N76+N81+N88+N94+N100+N104</f>
        <v>219654.6</v>
      </c>
      <c r="O107" s="80"/>
      <c r="P107" s="84"/>
      <c r="Q107" s="13"/>
    </row>
    <row r="108" spans="1:17" ht="24" x14ac:dyDescent="0.2">
      <c r="A108" s="81"/>
      <c r="B108" s="82" t="s">
        <v>65</v>
      </c>
      <c r="C108" s="81"/>
      <c r="D108" s="83"/>
      <c r="E108" s="44">
        <f t="shared" ref="E108:E109" si="98">SUM(F108:N108)</f>
        <v>48218.5</v>
      </c>
      <c r="F108" s="44">
        <f t="shared" ref="F108:N108" si="99">F63</f>
        <v>12263.4</v>
      </c>
      <c r="G108" s="44">
        <f t="shared" si="99"/>
        <v>14955.1</v>
      </c>
      <c r="H108" s="44">
        <f t="shared" si="99"/>
        <v>21000</v>
      </c>
      <c r="I108" s="44">
        <f t="shared" si="99"/>
        <v>0</v>
      </c>
      <c r="J108" s="44">
        <f t="shared" si="99"/>
        <v>0</v>
      </c>
      <c r="K108" s="44">
        <f t="shared" si="99"/>
        <v>0</v>
      </c>
      <c r="L108" s="44">
        <f t="shared" si="99"/>
        <v>0</v>
      </c>
      <c r="M108" s="44">
        <f t="shared" ref="M108" si="100">M63</f>
        <v>0</v>
      </c>
      <c r="N108" s="44">
        <f t="shared" si="99"/>
        <v>0</v>
      </c>
      <c r="O108" s="80"/>
      <c r="P108" s="84"/>
      <c r="Q108" s="13"/>
    </row>
    <row r="109" spans="1:17" ht="24" x14ac:dyDescent="0.2">
      <c r="A109" s="81"/>
      <c r="B109" s="82" t="s">
        <v>116</v>
      </c>
      <c r="C109" s="81"/>
      <c r="D109" s="83"/>
      <c r="E109" s="44">
        <f t="shared" si="98"/>
        <v>111998.9</v>
      </c>
      <c r="F109" s="44">
        <f t="shared" ref="F109:N109" si="101">F39+F48+F62</f>
        <v>742.9</v>
      </c>
      <c r="G109" s="44">
        <f t="shared" si="101"/>
        <v>3932.9</v>
      </c>
      <c r="H109" s="44">
        <f t="shared" si="101"/>
        <v>8279.1</v>
      </c>
      <c r="I109" s="44">
        <f t="shared" si="101"/>
        <v>26753.200000000001</v>
      </c>
      <c r="J109" s="44">
        <f t="shared" si="101"/>
        <v>26414.3</v>
      </c>
      <c r="K109" s="44">
        <f t="shared" si="101"/>
        <v>17664.099999999999</v>
      </c>
      <c r="L109" s="44">
        <f t="shared" si="101"/>
        <v>14151.2</v>
      </c>
      <c r="M109" s="44">
        <f t="shared" si="101"/>
        <v>14061.2</v>
      </c>
      <c r="N109" s="44">
        <f t="shared" si="101"/>
        <v>0</v>
      </c>
      <c r="O109" s="94"/>
      <c r="P109" s="84"/>
      <c r="Q109" s="13"/>
    </row>
    <row r="110" spans="1:17" x14ac:dyDescent="0.2">
      <c r="A110" s="62"/>
      <c r="B110" s="63" t="s">
        <v>38</v>
      </c>
      <c r="C110" s="64"/>
      <c r="D110" s="65"/>
      <c r="E110" s="47">
        <f>SUM(E111:E114)</f>
        <v>1795036.9000000004</v>
      </c>
      <c r="F110" s="47">
        <f>SUM(F111:F114)</f>
        <v>127932.09999999998</v>
      </c>
      <c r="G110" s="47">
        <f t="shared" ref="G110:N110" si="102">SUM(G111:G114)</f>
        <v>177579.7</v>
      </c>
      <c r="H110" s="47">
        <f t="shared" si="102"/>
        <v>216315.8</v>
      </c>
      <c r="I110" s="47">
        <f t="shared" si="102"/>
        <v>207474.40000000002</v>
      </c>
      <c r="J110" s="47">
        <f t="shared" si="102"/>
        <v>165650</v>
      </c>
      <c r="K110" s="47">
        <f t="shared" si="102"/>
        <v>170759</v>
      </c>
      <c r="L110" s="47">
        <f t="shared" si="102"/>
        <v>256457.69999999998</v>
      </c>
      <c r="M110" s="47">
        <f t="shared" ref="M110" si="103">SUM(M111:M114)</f>
        <v>251714.40000000002</v>
      </c>
      <c r="N110" s="47">
        <f t="shared" si="102"/>
        <v>221153.80000000002</v>
      </c>
      <c r="O110" s="147"/>
      <c r="P110" s="147"/>
    </row>
    <row r="111" spans="1:17" x14ac:dyDescent="0.2">
      <c r="A111" s="48"/>
      <c r="B111" s="49" t="s">
        <v>19</v>
      </c>
      <c r="C111" s="48"/>
      <c r="D111" s="50"/>
      <c r="E111" s="51">
        <f>SUM(F111:N111)</f>
        <v>1512447.4000000001</v>
      </c>
      <c r="F111" s="51">
        <f t="shared" ref="F111:N111" si="104">F36+F107</f>
        <v>114925.79999999999</v>
      </c>
      <c r="G111" s="51">
        <f t="shared" si="104"/>
        <v>143691.70000000001</v>
      </c>
      <c r="H111" s="51">
        <f t="shared" si="104"/>
        <v>157036.69999999998</v>
      </c>
      <c r="I111" s="51">
        <f t="shared" si="104"/>
        <v>141774.20000000001</v>
      </c>
      <c r="J111" s="51">
        <f t="shared" si="104"/>
        <v>124776.5</v>
      </c>
      <c r="K111" s="51">
        <f t="shared" si="104"/>
        <v>136698.30000000002</v>
      </c>
      <c r="L111" s="51">
        <f t="shared" si="104"/>
        <v>240268.79999999999</v>
      </c>
      <c r="M111" s="51">
        <f t="shared" si="104"/>
        <v>233515.80000000002</v>
      </c>
      <c r="N111" s="51">
        <f t="shared" si="104"/>
        <v>219759.6</v>
      </c>
      <c r="O111" s="148"/>
      <c r="P111" s="148"/>
    </row>
    <row r="112" spans="1:17" x14ac:dyDescent="0.2">
      <c r="A112" s="48"/>
      <c r="B112" s="49" t="s">
        <v>92</v>
      </c>
      <c r="C112" s="48"/>
      <c r="D112" s="50"/>
      <c r="E112" s="51">
        <f t="shared" ref="E112:E113" si="105">SUM(F112:N112)</f>
        <v>36127.599999999999</v>
      </c>
      <c r="F112" s="51">
        <f t="shared" ref="F112:N112" si="106">F34</f>
        <v>0</v>
      </c>
      <c r="G112" s="51">
        <f t="shared" si="106"/>
        <v>3495</v>
      </c>
      <c r="H112" s="51">
        <f t="shared" si="106"/>
        <v>10560</v>
      </c>
      <c r="I112" s="51">
        <f t="shared" si="106"/>
        <v>12852.5</v>
      </c>
      <c r="J112" s="51">
        <f t="shared" si="106"/>
        <v>4071.6</v>
      </c>
      <c r="K112" s="51">
        <f t="shared" si="106"/>
        <v>5148.5</v>
      </c>
      <c r="L112" s="51">
        <f t="shared" si="106"/>
        <v>0</v>
      </c>
      <c r="M112" s="51">
        <f t="shared" si="106"/>
        <v>0</v>
      </c>
      <c r="N112" s="51">
        <f t="shared" si="106"/>
        <v>0</v>
      </c>
      <c r="O112" s="148"/>
      <c r="P112" s="148"/>
    </row>
    <row r="113" spans="1:16" ht="24" x14ac:dyDescent="0.2">
      <c r="A113" s="45"/>
      <c r="B113" s="46" t="s">
        <v>65</v>
      </c>
      <c r="C113" s="45"/>
      <c r="D113" s="52"/>
      <c r="E113" s="51">
        <f t="shared" si="105"/>
        <v>48218.5</v>
      </c>
      <c r="F113" s="53">
        <f>F108</f>
        <v>12263.4</v>
      </c>
      <c r="G113" s="53">
        <f t="shared" ref="G113:N113" si="107">G108</f>
        <v>14955.1</v>
      </c>
      <c r="H113" s="53">
        <f t="shared" si="107"/>
        <v>21000</v>
      </c>
      <c r="I113" s="53">
        <f t="shared" si="107"/>
        <v>0</v>
      </c>
      <c r="J113" s="53">
        <f t="shared" si="107"/>
        <v>0</v>
      </c>
      <c r="K113" s="53">
        <f t="shared" si="107"/>
        <v>0</v>
      </c>
      <c r="L113" s="53">
        <f t="shared" si="107"/>
        <v>0</v>
      </c>
      <c r="M113" s="53">
        <f t="shared" ref="M113" si="108">M108</f>
        <v>0</v>
      </c>
      <c r="N113" s="53">
        <f t="shared" si="107"/>
        <v>0</v>
      </c>
      <c r="O113" s="148"/>
      <c r="P113" s="148"/>
    </row>
    <row r="114" spans="1:16" ht="24" x14ac:dyDescent="0.2">
      <c r="A114" s="85"/>
      <c r="B114" s="86" t="s">
        <v>116</v>
      </c>
      <c r="C114" s="85"/>
      <c r="D114" s="87"/>
      <c r="E114" s="51">
        <f>SUM(F114:N114)</f>
        <v>198243.40000000002</v>
      </c>
      <c r="F114" s="51">
        <f t="shared" ref="F114:N114" si="109">F35+F109</f>
        <v>742.9</v>
      </c>
      <c r="G114" s="51">
        <f t="shared" si="109"/>
        <v>15437.9</v>
      </c>
      <c r="H114" s="51">
        <f t="shared" si="109"/>
        <v>27719.1</v>
      </c>
      <c r="I114" s="51">
        <f t="shared" si="109"/>
        <v>52847.7</v>
      </c>
      <c r="J114" s="51">
        <f t="shared" si="109"/>
        <v>36801.9</v>
      </c>
      <c r="K114" s="51">
        <f t="shared" si="109"/>
        <v>28912.199999999997</v>
      </c>
      <c r="L114" s="51">
        <f t="shared" si="109"/>
        <v>16188.900000000001</v>
      </c>
      <c r="M114" s="51">
        <f t="shared" si="109"/>
        <v>18198.599999999999</v>
      </c>
      <c r="N114" s="51">
        <f t="shared" si="109"/>
        <v>1394.2</v>
      </c>
      <c r="O114" s="148"/>
      <c r="P114" s="148"/>
    </row>
    <row r="115" spans="1:16" ht="37.5" customHeight="1" x14ac:dyDescent="0.2"/>
    <row r="116" spans="1:16" ht="76.5" customHeight="1" x14ac:dyDescent="0.2"/>
    <row r="117" spans="1:16" ht="44.25" customHeight="1" x14ac:dyDescent="0.2"/>
    <row r="118" spans="1:16" s="12" customFormat="1" ht="21.75" customHeight="1" x14ac:dyDescent="0.2">
      <c r="A118" s="3"/>
      <c r="B118" s="3"/>
      <c r="C118" s="3"/>
      <c r="D118" s="3"/>
      <c r="E118" s="3"/>
      <c r="F118" s="3"/>
      <c r="G118" s="3"/>
      <c r="H118" s="11"/>
      <c r="I118" s="11"/>
      <c r="J118" s="11"/>
      <c r="K118" s="11"/>
      <c r="L118" s="11"/>
      <c r="M118" s="11"/>
      <c r="N118" s="11"/>
      <c r="O118" s="3"/>
      <c r="P118" s="3"/>
    </row>
    <row r="119" spans="1:16" ht="25.5" customHeight="1" x14ac:dyDescent="0.2"/>
    <row r="120" spans="1:16" ht="33" customHeight="1" x14ac:dyDescent="0.2"/>
    <row r="121" spans="1:16" ht="42.75" customHeight="1" x14ac:dyDescent="0.2"/>
    <row r="122" spans="1:16" ht="13.5" customHeight="1" x14ac:dyDescent="0.2"/>
    <row r="123" spans="1:16" ht="42.75" customHeight="1" x14ac:dyDescent="0.2"/>
    <row r="124" spans="1:16" ht="20.100000000000001" customHeight="1" x14ac:dyDescent="0.2"/>
  </sheetData>
  <mergeCells count="115">
    <mergeCell ref="P27:P29"/>
    <mergeCell ref="O110:O114"/>
    <mergeCell ref="P110:P114"/>
    <mergeCell ref="A37:P37"/>
    <mergeCell ref="A38:A40"/>
    <mergeCell ref="B38:B40"/>
    <mergeCell ref="O38:O40"/>
    <mergeCell ref="P38:P40"/>
    <mergeCell ref="A87:A88"/>
    <mergeCell ref="B87:B88"/>
    <mergeCell ref="O87:O88"/>
    <mergeCell ref="P87:P88"/>
    <mergeCell ref="O54:O55"/>
    <mergeCell ref="P54:P55"/>
    <mergeCell ref="A80:A81"/>
    <mergeCell ref="B80:B81"/>
    <mergeCell ref="P80:P81"/>
    <mergeCell ref="O80:O81"/>
    <mergeCell ref="A75:A76"/>
    <mergeCell ref="B75:B76"/>
    <mergeCell ref="D75:D76"/>
    <mergeCell ref="D87:D88"/>
    <mergeCell ref="D93:D94"/>
    <mergeCell ref="D99:D100"/>
    <mergeCell ref="O56:O57"/>
    <mergeCell ref="R74:V74"/>
    <mergeCell ref="R41:U41"/>
    <mergeCell ref="R43:U43"/>
    <mergeCell ref="A47:A49"/>
    <mergeCell ref="B47:B49"/>
    <mergeCell ref="O47:O49"/>
    <mergeCell ref="P47:P49"/>
    <mergeCell ref="O70:O72"/>
    <mergeCell ref="A61:A64"/>
    <mergeCell ref="B61:B64"/>
    <mergeCell ref="P61:P64"/>
    <mergeCell ref="P58:P59"/>
    <mergeCell ref="D45:D46"/>
    <mergeCell ref="D58:D59"/>
    <mergeCell ref="D61:D64"/>
    <mergeCell ref="D70:D72"/>
    <mergeCell ref="A54:A55"/>
    <mergeCell ref="B56:B57"/>
    <mergeCell ref="O30:O32"/>
    <mergeCell ref="P93:P94"/>
    <mergeCell ref="O19:O22"/>
    <mergeCell ref="P19:P22"/>
    <mergeCell ref="D19:D22"/>
    <mergeCell ref="A19:A22"/>
    <mergeCell ref="B19:B22"/>
    <mergeCell ref="G1:P1"/>
    <mergeCell ref="G4:P4"/>
    <mergeCell ref="A14:P14"/>
    <mergeCell ref="O15:O16"/>
    <mergeCell ref="E15:E16"/>
    <mergeCell ref="D15:D16"/>
    <mergeCell ref="B15:B16"/>
    <mergeCell ref="G2:P2"/>
    <mergeCell ref="A11:P11"/>
    <mergeCell ref="A12:P12"/>
    <mergeCell ref="A13:P13"/>
    <mergeCell ref="F15:N15"/>
    <mergeCell ref="G3:P3"/>
    <mergeCell ref="P15:P16"/>
    <mergeCell ref="C15:C16"/>
    <mergeCell ref="A15:A16"/>
    <mergeCell ref="M5:P8"/>
    <mergeCell ref="A103:A104"/>
    <mergeCell ref="B103:B104"/>
    <mergeCell ref="D103:D104"/>
    <mergeCell ref="P99:P100"/>
    <mergeCell ref="D41:D42"/>
    <mergeCell ref="O23:O26"/>
    <mergeCell ref="P23:P26"/>
    <mergeCell ref="A93:A94"/>
    <mergeCell ref="B93:B94"/>
    <mergeCell ref="O93:O94"/>
    <mergeCell ref="A99:A100"/>
    <mergeCell ref="B99:B100"/>
    <mergeCell ref="O99:O100"/>
    <mergeCell ref="A23:A26"/>
    <mergeCell ref="B23:B26"/>
    <mergeCell ref="P70:P72"/>
    <mergeCell ref="A70:A72"/>
    <mergeCell ref="B70:B72"/>
    <mergeCell ref="A45:A46"/>
    <mergeCell ref="B45:B46"/>
    <mergeCell ref="O45:O46"/>
    <mergeCell ref="D80:D81"/>
    <mergeCell ref="D38:D40"/>
    <mergeCell ref="O61:O64"/>
    <mergeCell ref="A18:P18"/>
    <mergeCell ref="O33:O36"/>
    <mergeCell ref="P33:P36"/>
    <mergeCell ref="P56:P57"/>
    <mergeCell ref="A58:A59"/>
    <mergeCell ref="B58:B59"/>
    <mergeCell ref="P45:P46"/>
    <mergeCell ref="A41:A42"/>
    <mergeCell ref="B41:B42"/>
    <mergeCell ref="O41:O42"/>
    <mergeCell ref="P41:P42"/>
    <mergeCell ref="O58:O59"/>
    <mergeCell ref="D47:D49"/>
    <mergeCell ref="B54:B55"/>
    <mergeCell ref="B27:B29"/>
    <mergeCell ref="A27:A29"/>
    <mergeCell ref="D27:D29"/>
    <mergeCell ref="A56:A57"/>
    <mergeCell ref="D23:D26"/>
    <mergeCell ref="O27:O29"/>
    <mergeCell ref="B30:B32"/>
    <mergeCell ref="A30:A32"/>
    <mergeCell ref="D30:D32"/>
    <mergeCell ref="P30:P32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7" orientation="landscape" r:id="rId1"/>
  <headerFooter alignWithMargins="0"/>
  <rowBreaks count="4" manualBreakCount="4">
    <brk id="55" max="15" man="1"/>
    <brk id="82" max="15" man="1"/>
    <brk id="92" max="15" man="1"/>
    <brk id="10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Лещев Олег Витальевич ООП Б-2016 ГМУ</cp:lastModifiedBy>
  <cp:lastPrinted>2024-01-31T09:47:48Z</cp:lastPrinted>
  <dcterms:created xsi:type="dcterms:W3CDTF">1996-10-08T23:32:33Z</dcterms:created>
  <dcterms:modified xsi:type="dcterms:W3CDTF">2024-02-12T12:02:26Z</dcterms:modified>
</cp:coreProperties>
</file>